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0245" windowHeight="8190" tabRatio="779" firstSheet="7" activeTab="8"/>
  </bookViews>
  <sheets>
    <sheet name="version control" sheetId="30" r:id="rId1"/>
    <sheet name="Guidance" sheetId="28" r:id="rId2"/>
    <sheet name="Option summary" sheetId="29" r:id="rId3"/>
    <sheet name="Fixed data" sheetId="20" r:id="rId4"/>
    <sheet name="Workings baseline 2015.16" sheetId="27" r:id="rId5"/>
    <sheet name="Workings baseline 2016.17" sheetId="40" r:id="rId6"/>
    <sheet name="Workings baseline 2017.18" sheetId="43" r:id="rId7"/>
    <sheet name="Option 1 (Baseline)" sheetId="33" r:id="rId8"/>
    <sheet name="Option 2" sheetId="34" r:id="rId9"/>
    <sheet name="Workings template 2015.16" sheetId="32" r:id="rId10"/>
    <sheet name="Workings template 2016.17" sheetId="41" r:id="rId11"/>
    <sheet name="Workings template 2017.18" sheetId="42" r:id="rId12"/>
  </sheets>
  <externalReferences>
    <externalReference r:id="rId13"/>
    <externalReference r:id="rId14"/>
  </externalReferences>
  <definedNames>
    <definedName name="_xlnm.Print_Area" localSheetId="7">'Option 1 (Baseline)'!$A$1:$AB$104</definedName>
    <definedName name="_xlnm.Print_Area" localSheetId="8">'Option 2'!$A$1:$AB$104</definedName>
  </definedNames>
  <calcPr calcId="145621"/>
</workbook>
</file>

<file path=xl/calcChain.xml><?xml version="1.0" encoding="utf-8"?>
<calcChain xmlns="http://schemas.openxmlformats.org/spreadsheetml/2006/main">
  <c r="G68" i="33" l="1"/>
  <c r="G67" i="33"/>
  <c r="G90" i="34" l="1"/>
  <c r="E73" i="42"/>
  <c r="E72" i="42"/>
  <c r="D81" i="42"/>
  <c r="D82" i="42"/>
  <c r="G90" i="33"/>
  <c r="G89" i="33"/>
  <c r="G88" i="33"/>
  <c r="E86" i="43"/>
  <c r="E85" i="43"/>
  <c r="E82" i="40"/>
  <c r="E84" i="43"/>
  <c r="E83" i="43"/>
  <c r="E82" i="43"/>
  <c r="E80" i="40"/>
  <c r="E79" i="40" l="1"/>
  <c r="F86" i="43" l="1"/>
  <c r="F85" i="43"/>
  <c r="F84" i="43"/>
  <c r="F83" i="43"/>
  <c r="F82" i="43"/>
  <c r="K61" i="43"/>
  <c r="P58" i="43"/>
  <c r="O58" i="43"/>
  <c r="N58" i="43"/>
  <c r="L58" i="43"/>
  <c r="K62" i="43" s="1"/>
  <c r="K63" i="43" s="1"/>
  <c r="K58" i="43"/>
  <c r="I58" i="43"/>
  <c r="AI53" i="43"/>
  <c r="AJ53" i="43" s="1"/>
  <c r="AF53" i="43"/>
  <c r="AM53" i="43" s="1"/>
  <c r="AE53" i="43"/>
  <c r="AK53" i="43" s="1"/>
  <c r="Z53" i="43"/>
  <c r="AA53" i="43" s="1"/>
  <c r="Y53" i="43"/>
  <c r="X53" i="43"/>
  <c r="W53" i="43"/>
  <c r="V53" i="43"/>
  <c r="U53" i="43"/>
  <c r="AI52" i="43"/>
  <c r="AJ52" i="43" s="1"/>
  <c r="AF52" i="43"/>
  <c r="AM52" i="43" s="1"/>
  <c r="AE52" i="43"/>
  <c r="AK52" i="43" s="1"/>
  <c r="Z52" i="43"/>
  <c r="AA52" i="43" s="1"/>
  <c r="Y52" i="43"/>
  <c r="X52" i="43"/>
  <c r="V52" i="43"/>
  <c r="U52" i="43"/>
  <c r="W52" i="43" s="1"/>
  <c r="AI51" i="43"/>
  <c r="AJ51" i="43" s="1"/>
  <c r="AF51" i="43"/>
  <c r="AM51" i="43" s="1"/>
  <c r="AE51" i="43"/>
  <c r="AK51" i="43" s="1"/>
  <c r="Z51" i="43"/>
  <c r="Y51" i="43"/>
  <c r="AA51" i="43" s="1"/>
  <c r="X51" i="43"/>
  <c r="V51" i="43"/>
  <c r="U51" i="43"/>
  <c r="W51" i="43" s="1"/>
  <c r="J51" i="43"/>
  <c r="AI50" i="43"/>
  <c r="AJ50" i="43" s="1"/>
  <c r="AF50" i="43"/>
  <c r="AM50" i="43" s="1"/>
  <c r="AE50" i="43"/>
  <c r="AK50" i="43" s="1"/>
  <c r="Z50" i="43"/>
  <c r="Y50" i="43"/>
  <c r="AA50" i="43" s="1"/>
  <c r="W50" i="43"/>
  <c r="U50" i="43"/>
  <c r="X50" i="43" s="1"/>
  <c r="AI49" i="43"/>
  <c r="AJ49" i="43" s="1"/>
  <c r="AF49" i="43"/>
  <c r="AM49" i="43" s="1"/>
  <c r="AE49" i="43"/>
  <c r="AG49" i="43" s="1"/>
  <c r="Y49" i="43"/>
  <c r="V49" i="43"/>
  <c r="U49" i="43"/>
  <c r="Z49" i="43" s="1"/>
  <c r="AA49" i="43" s="1"/>
  <c r="AI48" i="43"/>
  <c r="AJ48" i="43" s="1"/>
  <c r="AF48" i="43"/>
  <c r="AM48" i="43" s="1"/>
  <c r="AE48" i="43"/>
  <c r="AK48" i="43" s="1"/>
  <c r="V48" i="43"/>
  <c r="U48" i="43"/>
  <c r="Z48" i="43" s="1"/>
  <c r="J48" i="43"/>
  <c r="AK47" i="43"/>
  <c r="AJ47" i="43"/>
  <c r="AI47" i="43"/>
  <c r="AG47" i="43"/>
  <c r="AN47" i="43" s="1"/>
  <c r="AF47" i="43"/>
  <c r="AM47" i="43" s="1"/>
  <c r="AE47" i="43"/>
  <c r="U47" i="43"/>
  <c r="Z47" i="43" s="1"/>
  <c r="AM46" i="43"/>
  <c r="AJ46" i="43"/>
  <c r="AI46" i="43"/>
  <c r="AK46" i="43" s="1"/>
  <c r="AF46" i="43"/>
  <c r="AE46" i="43"/>
  <c r="AG46" i="43" s="1"/>
  <c r="U46" i="43"/>
  <c r="Z46" i="43" s="1"/>
  <c r="J46" i="43"/>
  <c r="AM45" i="43"/>
  <c r="AK45" i="43"/>
  <c r="AI45" i="43"/>
  <c r="AJ45" i="43" s="1"/>
  <c r="AF45" i="43"/>
  <c r="AE45" i="43"/>
  <c r="AG45" i="43" s="1"/>
  <c r="AN45" i="43" s="1"/>
  <c r="U45" i="43"/>
  <c r="Z45" i="43" s="1"/>
  <c r="AM44" i="43"/>
  <c r="AK44" i="43"/>
  <c r="AI44" i="43"/>
  <c r="AJ44" i="43" s="1"/>
  <c r="AF44" i="43"/>
  <c r="AH44" i="43" s="1"/>
  <c r="AL44" i="43" s="1"/>
  <c r="AE44" i="43"/>
  <c r="AG44" i="43" s="1"/>
  <c r="AN44" i="43" s="1"/>
  <c r="U44" i="43"/>
  <c r="Z44" i="43" s="1"/>
  <c r="AM43" i="43"/>
  <c r="AJ43" i="43"/>
  <c r="AI43" i="43"/>
  <c r="AF43" i="43"/>
  <c r="AE43" i="43"/>
  <c r="AK43" i="43" s="1"/>
  <c r="V43" i="43"/>
  <c r="U43" i="43"/>
  <c r="Z43" i="43" s="1"/>
  <c r="T43" i="43"/>
  <c r="S43" i="43"/>
  <c r="J43" i="43"/>
  <c r="AI42" i="43"/>
  <c r="AJ42" i="43" s="1"/>
  <c r="AF42" i="43"/>
  <c r="AM42" i="43" s="1"/>
  <c r="AE42" i="43"/>
  <c r="AK42" i="43" s="1"/>
  <c r="V42" i="43"/>
  <c r="U42" i="43"/>
  <c r="Z42" i="43" s="1"/>
  <c r="T42" i="43"/>
  <c r="S42" i="43"/>
  <c r="AI41" i="43"/>
  <c r="AJ41" i="43" s="1"/>
  <c r="AF41" i="43"/>
  <c r="AM41" i="43" s="1"/>
  <c r="AE41" i="43"/>
  <c r="AK41" i="43" s="1"/>
  <c r="U41" i="43"/>
  <c r="Z41" i="43" s="1"/>
  <c r="T41" i="43"/>
  <c r="S41" i="43"/>
  <c r="AI40" i="43"/>
  <c r="AJ40" i="43" s="1"/>
  <c r="AG40" i="43"/>
  <c r="AN40" i="43" s="1"/>
  <c r="AF40" i="43"/>
  <c r="AM40" i="43" s="1"/>
  <c r="AE40" i="43"/>
  <c r="AK40" i="43" s="1"/>
  <c r="W40" i="43"/>
  <c r="V40" i="43"/>
  <c r="U40" i="43"/>
  <c r="Z40" i="43" s="1"/>
  <c r="T40" i="43"/>
  <c r="S40" i="43"/>
  <c r="J40" i="43"/>
  <c r="AJ39" i="43"/>
  <c r="AI39" i="43"/>
  <c r="AF39" i="43"/>
  <c r="AM39" i="43" s="1"/>
  <c r="AE39" i="43"/>
  <c r="AK39" i="43" s="1"/>
  <c r="U39" i="43"/>
  <c r="W39" i="43" s="1"/>
  <c r="T39" i="43"/>
  <c r="S39" i="43"/>
  <c r="AJ38" i="43"/>
  <c r="AI38" i="43"/>
  <c r="AF38" i="43"/>
  <c r="AM38" i="43" s="1"/>
  <c r="AE38" i="43"/>
  <c r="AK38" i="43" s="1"/>
  <c r="W38" i="43"/>
  <c r="V38" i="43"/>
  <c r="U38" i="43"/>
  <c r="Y38" i="43" s="1"/>
  <c r="AJ37" i="43"/>
  <c r="AI37" i="43"/>
  <c r="AF37" i="43"/>
  <c r="AM37" i="43" s="1"/>
  <c r="AE37" i="43"/>
  <c r="AK37" i="43" s="1"/>
  <c r="W37" i="43"/>
  <c r="U37" i="43"/>
  <c r="Z37" i="43" s="1"/>
  <c r="AI36" i="43"/>
  <c r="AJ36" i="43" s="1"/>
  <c r="AF36" i="43"/>
  <c r="AM36" i="43" s="1"/>
  <c r="AE36" i="43"/>
  <c r="AK36" i="43" s="1"/>
  <c r="Z36" i="43"/>
  <c r="Y36" i="43"/>
  <c r="AA36" i="43" s="1"/>
  <c r="X36" i="43"/>
  <c r="W36" i="43"/>
  <c r="V36" i="43"/>
  <c r="U36" i="43"/>
  <c r="AI35" i="43"/>
  <c r="AJ35" i="43" s="1"/>
  <c r="AF35" i="43"/>
  <c r="AM35" i="43" s="1"/>
  <c r="AE35" i="43"/>
  <c r="AK35" i="43" s="1"/>
  <c r="Z35" i="43"/>
  <c r="Y35" i="43"/>
  <c r="AA35" i="43" s="1"/>
  <c r="X35" i="43"/>
  <c r="W35" i="43"/>
  <c r="V35" i="43"/>
  <c r="U35" i="43"/>
  <c r="J35" i="43"/>
  <c r="AJ34" i="43"/>
  <c r="AI34" i="43"/>
  <c r="AF34" i="43"/>
  <c r="AM34" i="43" s="1"/>
  <c r="AE34" i="43"/>
  <c r="AK34" i="43" s="1"/>
  <c r="Z34" i="43"/>
  <c r="Y34" i="43"/>
  <c r="AA34" i="43" s="1"/>
  <c r="X34" i="43"/>
  <c r="V34" i="43"/>
  <c r="U34" i="43"/>
  <c r="W34" i="43" s="1"/>
  <c r="AJ33" i="43"/>
  <c r="AI33" i="43"/>
  <c r="AF33" i="43"/>
  <c r="AM33" i="43" s="1"/>
  <c r="AE33" i="43"/>
  <c r="AK33" i="43" s="1"/>
  <c r="Z33" i="43"/>
  <c r="Y33" i="43"/>
  <c r="AA33" i="43" s="1"/>
  <c r="X33" i="43"/>
  <c r="V33" i="43"/>
  <c r="U33" i="43"/>
  <c r="W33" i="43" s="1"/>
  <c r="AJ32" i="43"/>
  <c r="AI32" i="43"/>
  <c r="AG32" i="43"/>
  <c r="AN32" i="43" s="1"/>
  <c r="AF32" i="43"/>
  <c r="AM32" i="43" s="1"/>
  <c r="AE32" i="43"/>
  <c r="AK32" i="43" s="1"/>
  <c r="Z32" i="43"/>
  <c r="X32" i="43"/>
  <c r="V32" i="43"/>
  <c r="U32" i="43"/>
  <c r="Y32" i="43" s="1"/>
  <c r="AA32" i="43" s="1"/>
  <c r="AJ31" i="43"/>
  <c r="AI31" i="43"/>
  <c r="AG31" i="43"/>
  <c r="AN31" i="43" s="1"/>
  <c r="AF31" i="43"/>
  <c r="AM31" i="43" s="1"/>
  <c r="AE31" i="43"/>
  <c r="AK31" i="43" s="1"/>
  <c r="Z31" i="43"/>
  <c r="X31" i="43"/>
  <c r="V31" i="43"/>
  <c r="U31" i="43"/>
  <c r="Y31" i="43" s="1"/>
  <c r="AA31" i="43" s="1"/>
  <c r="J31" i="43"/>
  <c r="AI30" i="43"/>
  <c r="AJ30" i="43" s="1"/>
  <c r="AF30" i="43"/>
  <c r="AM30" i="43" s="1"/>
  <c r="AE30" i="43"/>
  <c r="AK30" i="43" s="1"/>
  <c r="AA30" i="43"/>
  <c r="Z30" i="43"/>
  <c r="Y30" i="43"/>
  <c r="X30" i="43"/>
  <c r="W30" i="43"/>
  <c r="V30" i="43"/>
  <c r="U30" i="43"/>
  <c r="AI29" i="43"/>
  <c r="AJ29" i="43" s="1"/>
  <c r="AF29" i="43"/>
  <c r="AM29" i="43" s="1"/>
  <c r="AE29" i="43"/>
  <c r="AG29" i="43" s="1"/>
  <c r="AA29" i="43"/>
  <c r="Z29" i="43"/>
  <c r="Y29" i="43"/>
  <c r="X29" i="43"/>
  <c r="W29" i="43"/>
  <c r="V29" i="43"/>
  <c r="U29" i="43"/>
  <c r="AI28" i="43"/>
  <c r="AJ28" i="43" s="1"/>
  <c r="AF28" i="43"/>
  <c r="AM28" i="43" s="1"/>
  <c r="AE28" i="43"/>
  <c r="AG28" i="43" s="1"/>
  <c r="AN28" i="43" s="1"/>
  <c r="AA28" i="43"/>
  <c r="Z28" i="43"/>
  <c r="Y28" i="43"/>
  <c r="X28" i="43"/>
  <c r="W28" i="43"/>
  <c r="V28" i="43"/>
  <c r="U28" i="43"/>
  <c r="J28" i="43"/>
  <c r="AK27" i="43"/>
  <c r="AJ27" i="43"/>
  <c r="AI27" i="43"/>
  <c r="AG27" i="43"/>
  <c r="AN27" i="43" s="1"/>
  <c r="AF27" i="43"/>
  <c r="AH27" i="43" s="1"/>
  <c r="AL27" i="43" s="1"/>
  <c r="AE27" i="43"/>
  <c r="W27" i="43"/>
  <c r="V27" i="43"/>
  <c r="U27" i="43"/>
  <c r="Z27" i="43" s="1"/>
  <c r="AK26" i="43"/>
  <c r="AJ26" i="43"/>
  <c r="AI26" i="43"/>
  <c r="AG26" i="43"/>
  <c r="AN26" i="43" s="1"/>
  <c r="AF26" i="43"/>
  <c r="AM26" i="43" s="1"/>
  <c r="AE26" i="43"/>
  <c r="W26" i="43"/>
  <c r="U26" i="43"/>
  <c r="Z26" i="43" s="1"/>
  <c r="AM25" i="43"/>
  <c r="AJ25" i="43"/>
  <c r="AI25" i="43"/>
  <c r="AK25" i="43" s="1"/>
  <c r="AF25" i="43"/>
  <c r="AE25" i="43"/>
  <c r="AG25" i="43" s="1"/>
  <c r="U25" i="43"/>
  <c r="Z25" i="43" s="1"/>
  <c r="J25" i="43"/>
  <c r="AN24" i="43"/>
  <c r="AM24" i="43"/>
  <c r="AL24" i="43"/>
  <c r="AK24" i="43"/>
  <c r="AI24" i="43"/>
  <c r="AJ24" i="43" s="1"/>
  <c r="AH24" i="43"/>
  <c r="AG24" i="43"/>
  <c r="AF24" i="43"/>
  <c r="AE24" i="43"/>
  <c r="V24" i="43"/>
  <c r="U24" i="43"/>
  <c r="Z24" i="43" s="1"/>
  <c r="T24" i="43"/>
  <c r="S24" i="43"/>
  <c r="AN23" i="43"/>
  <c r="AM23" i="43"/>
  <c r="AL23" i="43"/>
  <c r="AK23" i="43"/>
  <c r="AI23" i="43"/>
  <c r="AJ23" i="43" s="1"/>
  <c r="AH23" i="43"/>
  <c r="AG23" i="43"/>
  <c r="AF23" i="43"/>
  <c r="AE23" i="43"/>
  <c r="U23" i="43"/>
  <c r="Z23" i="43" s="1"/>
  <c r="T23" i="43"/>
  <c r="S23" i="43"/>
  <c r="AM22" i="43"/>
  <c r="AK22" i="43"/>
  <c r="AJ22" i="43"/>
  <c r="AI22" i="43"/>
  <c r="AF22" i="43"/>
  <c r="AH22" i="43" s="1"/>
  <c r="AL22" i="43" s="1"/>
  <c r="AE22" i="43"/>
  <c r="AG22" i="43" s="1"/>
  <c r="AN22" i="43" s="1"/>
  <c r="V22" i="43"/>
  <c r="U22" i="43"/>
  <c r="Z22" i="43" s="1"/>
  <c r="T22" i="43"/>
  <c r="S22" i="43"/>
  <c r="J22" i="43"/>
  <c r="AN21" i="43"/>
  <c r="AI21" i="43"/>
  <c r="AM21" i="43" s="1"/>
  <c r="AG21" i="43"/>
  <c r="AF21" i="43"/>
  <c r="AH21" i="43" s="1"/>
  <c r="AL21" i="43" s="1"/>
  <c r="AE21" i="43"/>
  <c r="AK21" i="43" s="1"/>
  <c r="V21" i="43"/>
  <c r="U21" i="43"/>
  <c r="Z21" i="43" s="1"/>
  <c r="T21" i="43"/>
  <c r="S21" i="43"/>
  <c r="AI20" i="43"/>
  <c r="AM20" i="43" s="1"/>
  <c r="AF20" i="43"/>
  <c r="AE20" i="43"/>
  <c r="AK20" i="43" s="1"/>
  <c r="V20" i="43"/>
  <c r="U20" i="43"/>
  <c r="Z20" i="43" s="1"/>
  <c r="T20" i="43"/>
  <c r="S20" i="43"/>
  <c r="AI19" i="43"/>
  <c r="AM19" i="43" s="1"/>
  <c r="AF19" i="43"/>
  <c r="AE19" i="43"/>
  <c r="AK19" i="43" s="1"/>
  <c r="V19" i="43"/>
  <c r="U19" i="43"/>
  <c r="Z19" i="43" s="1"/>
  <c r="T19" i="43"/>
  <c r="S19" i="43"/>
  <c r="AM18" i="43"/>
  <c r="AI18" i="43"/>
  <c r="AJ18" i="43" s="1"/>
  <c r="AF18" i="43"/>
  <c r="AE18" i="43"/>
  <c r="AK18" i="43" s="1"/>
  <c r="V18" i="43"/>
  <c r="U18" i="43"/>
  <c r="Z18" i="43" s="1"/>
  <c r="T18" i="43"/>
  <c r="S18" i="43"/>
  <c r="J18" i="43"/>
  <c r="J58" i="43" s="1"/>
  <c r="K66" i="43" s="1"/>
  <c r="AJ17" i="43"/>
  <c r="AI17" i="43"/>
  <c r="AF17" i="43"/>
  <c r="AM17" i="43" s="1"/>
  <c r="AE17" i="43"/>
  <c r="AK17" i="43" s="1"/>
  <c r="V17" i="43"/>
  <c r="U17" i="43"/>
  <c r="W17" i="43" s="1"/>
  <c r="T17" i="43"/>
  <c r="S17" i="43"/>
  <c r="AJ16" i="43"/>
  <c r="AI16" i="43"/>
  <c r="AF16" i="43"/>
  <c r="AM16" i="43" s="1"/>
  <c r="AE16" i="43"/>
  <c r="AK16" i="43" s="1"/>
  <c r="U16" i="43"/>
  <c r="W16" i="43" s="1"/>
  <c r="T16" i="43"/>
  <c r="S16" i="43"/>
  <c r="AJ15" i="43"/>
  <c r="AI15" i="43"/>
  <c r="AF15" i="43"/>
  <c r="AM15" i="43" s="1"/>
  <c r="AE15" i="43"/>
  <c r="AK15" i="43" s="1"/>
  <c r="U15" i="43"/>
  <c r="W15" i="43" s="1"/>
  <c r="T15" i="43"/>
  <c r="S15" i="43"/>
  <c r="AJ14" i="43"/>
  <c r="AI14" i="43"/>
  <c r="AI58" i="43" s="1"/>
  <c r="AF14" i="43"/>
  <c r="AM14" i="43" s="1"/>
  <c r="AE14" i="43"/>
  <c r="AK14" i="43" s="1"/>
  <c r="U14" i="43"/>
  <c r="W14" i="43" s="1"/>
  <c r="T14" i="43"/>
  <c r="S14" i="43"/>
  <c r="J14" i="43"/>
  <c r="Q4" i="43"/>
  <c r="T38" i="43" s="1"/>
  <c r="Q3" i="43"/>
  <c r="S38" i="43" s="1"/>
  <c r="D81" i="41"/>
  <c r="E81" i="41"/>
  <c r="D83" i="42"/>
  <c r="J14" i="42"/>
  <c r="K61" i="42"/>
  <c r="E82" i="42"/>
  <c r="G13" i="34" s="1"/>
  <c r="P58" i="42"/>
  <c r="O58" i="42"/>
  <c r="N58" i="42"/>
  <c r="L58" i="42"/>
  <c r="K58" i="42"/>
  <c r="K62" i="42" s="1"/>
  <c r="J58" i="42"/>
  <c r="K66" i="42" s="1"/>
  <c r="I58" i="42"/>
  <c r="AM53" i="42"/>
  <c r="AI53" i="42"/>
  <c r="AJ53" i="42" s="1"/>
  <c r="AF53" i="42"/>
  <c r="AE53" i="42"/>
  <c r="AK53" i="42" s="1"/>
  <c r="U53" i="42"/>
  <c r="V53" i="42" s="1"/>
  <c r="T53" i="42"/>
  <c r="S53" i="42"/>
  <c r="AI52" i="42"/>
  <c r="AJ52" i="42" s="1"/>
  <c r="AF52" i="42"/>
  <c r="AM52" i="42" s="1"/>
  <c r="AE52" i="42"/>
  <c r="AK52" i="42" s="1"/>
  <c r="W52" i="42"/>
  <c r="V52" i="42"/>
  <c r="U52" i="42"/>
  <c r="X52" i="42" s="1"/>
  <c r="T52" i="42"/>
  <c r="AI51" i="42"/>
  <c r="AJ51" i="42" s="1"/>
  <c r="AF51" i="42"/>
  <c r="AM51" i="42" s="1"/>
  <c r="AE51" i="42"/>
  <c r="AK51" i="42" s="1"/>
  <c r="W51" i="42"/>
  <c r="V51" i="42"/>
  <c r="U51" i="42"/>
  <c r="X51" i="42" s="1"/>
  <c r="T51" i="42"/>
  <c r="J51" i="42"/>
  <c r="AI50" i="42"/>
  <c r="AJ50" i="42" s="1"/>
  <c r="AG50" i="42"/>
  <c r="AN50" i="42" s="1"/>
  <c r="AF50" i="42"/>
  <c r="AM50" i="42" s="1"/>
  <c r="AE50" i="42"/>
  <c r="AK50" i="42" s="1"/>
  <c r="Y50" i="42"/>
  <c r="X50" i="42"/>
  <c r="W50" i="42"/>
  <c r="V50" i="42"/>
  <c r="U50" i="42"/>
  <c r="Z50" i="42" s="1"/>
  <c r="AK49" i="42"/>
  <c r="AI49" i="42"/>
  <c r="AJ49" i="42" s="1"/>
  <c r="AF49" i="42"/>
  <c r="AM49" i="42" s="1"/>
  <c r="AE49" i="42"/>
  <c r="AG49" i="42" s="1"/>
  <c r="Z49" i="42"/>
  <c r="Y49" i="42"/>
  <c r="AA49" i="42" s="1"/>
  <c r="X49" i="42"/>
  <c r="W49" i="42"/>
  <c r="V49" i="42"/>
  <c r="U49" i="42"/>
  <c r="AJ48" i="42"/>
  <c r="AI48" i="42"/>
  <c r="AF48" i="42"/>
  <c r="AM48" i="42" s="1"/>
  <c r="AE48" i="42"/>
  <c r="AK48" i="42" s="1"/>
  <c r="AA48" i="42"/>
  <c r="Z48" i="42"/>
  <c r="Y48" i="42"/>
  <c r="X48" i="42"/>
  <c r="V48" i="42"/>
  <c r="U48" i="42"/>
  <c r="W48" i="42" s="1"/>
  <c r="J48" i="42"/>
  <c r="AI47" i="42"/>
  <c r="AJ47" i="42" s="1"/>
  <c r="AF47" i="42"/>
  <c r="AM47" i="42" s="1"/>
  <c r="AE47" i="42"/>
  <c r="AK47" i="42" s="1"/>
  <c r="AA47" i="42"/>
  <c r="Z47" i="42"/>
  <c r="Y47" i="42"/>
  <c r="V47" i="42"/>
  <c r="U47" i="42"/>
  <c r="X47" i="42" s="1"/>
  <c r="AI46" i="42"/>
  <c r="AJ46" i="42" s="1"/>
  <c r="AG46" i="42"/>
  <c r="AN46" i="42" s="1"/>
  <c r="AF46" i="42"/>
  <c r="AH46" i="42" s="1"/>
  <c r="AL46" i="42" s="1"/>
  <c r="AE46" i="42"/>
  <c r="AK46" i="42" s="1"/>
  <c r="AA46" i="42"/>
  <c r="Z46" i="42"/>
  <c r="Y46" i="42"/>
  <c r="X46" i="42"/>
  <c r="W46" i="42"/>
  <c r="V46" i="42"/>
  <c r="U46" i="42"/>
  <c r="J46" i="42"/>
  <c r="AI45" i="42"/>
  <c r="AK45" i="42" s="1"/>
  <c r="AH45" i="42"/>
  <c r="AL45" i="42" s="1"/>
  <c r="AG45" i="42"/>
  <c r="AN45" i="42" s="1"/>
  <c r="AF45" i="42"/>
  <c r="AM45" i="42" s="1"/>
  <c r="AE45" i="42"/>
  <c r="AA45" i="42"/>
  <c r="Z45" i="42"/>
  <c r="Y45" i="42"/>
  <c r="V45" i="42"/>
  <c r="U45" i="42"/>
  <c r="X45" i="42" s="1"/>
  <c r="AK44" i="42"/>
  <c r="AJ44" i="42"/>
  <c r="AI44" i="42"/>
  <c r="AM44" i="42" s="1"/>
  <c r="AF44" i="42"/>
  <c r="AE44" i="42"/>
  <c r="AG44" i="42" s="1"/>
  <c r="U44" i="42"/>
  <c r="Z44" i="42" s="1"/>
  <c r="AN43" i="42"/>
  <c r="AM43" i="42"/>
  <c r="AK43" i="42"/>
  <c r="AJ43" i="42"/>
  <c r="AI43" i="42"/>
  <c r="AG43" i="42"/>
  <c r="AF43" i="42"/>
  <c r="AH43" i="42" s="1"/>
  <c r="AL43" i="42" s="1"/>
  <c r="AE43" i="42"/>
  <c r="W43" i="42"/>
  <c r="V43" i="42"/>
  <c r="U43" i="42"/>
  <c r="Z43" i="42" s="1"/>
  <c r="J43" i="42"/>
  <c r="AN42" i="42"/>
  <c r="AM42" i="42"/>
  <c r="AL42" i="42"/>
  <c r="AK42" i="42"/>
  <c r="AI42" i="42"/>
  <c r="AJ42" i="42" s="1"/>
  <c r="AH42" i="42"/>
  <c r="AG42" i="42"/>
  <c r="AF42" i="42"/>
  <c r="AE42" i="42"/>
  <c r="X42" i="42"/>
  <c r="V42" i="42"/>
  <c r="U42" i="42"/>
  <c r="Z42" i="42" s="1"/>
  <c r="AN41" i="42"/>
  <c r="AM41" i="42"/>
  <c r="AL41" i="42"/>
  <c r="AK41" i="42"/>
  <c r="AI41" i="42"/>
  <c r="AJ41" i="42" s="1"/>
  <c r="AH41" i="42"/>
  <c r="AG41" i="42"/>
  <c r="AF41" i="42"/>
  <c r="AE41" i="42"/>
  <c r="X41" i="42"/>
  <c r="V41" i="42"/>
  <c r="U41" i="42"/>
  <c r="Z41" i="42" s="1"/>
  <c r="AM40" i="42"/>
  <c r="AJ40" i="42"/>
  <c r="AI40" i="42"/>
  <c r="AK40" i="42" s="1"/>
  <c r="AF40" i="42"/>
  <c r="AE40" i="42"/>
  <c r="AG40" i="42" s="1"/>
  <c r="Z40" i="42"/>
  <c r="X40" i="42"/>
  <c r="W40" i="42"/>
  <c r="V40" i="42"/>
  <c r="U40" i="42"/>
  <c r="Y40" i="42" s="1"/>
  <c r="AA40" i="42" s="1"/>
  <c r="J40" i="42"/>
  <c r="AN39" i="42"/>
  <c r="AK39" i="42"/>
  <c r="AJ39" i="42"/>
  <c r="AI39" i="42"/>
  <c r="AM39" i="42" s="1"/>
  <c r="AG39" i="42"/>
  <c r="AF39" i="42"/>
  <c r="AH39" i="42" s="1"/>
  <c r="AL39" i="42" s="1"/>
  <c r="AE39" i="42"/>
  <c r="U39" i="42"/>
  <c r="Z39" i="42" s="1"/>
  <c r="S39" i="42"/>
  <c r="AM38" i="42"/>
  <c r="AK38" i="42"/>
  <c r="AI38" i="42"/>
  <c r="AJ38" i="42" s="1"/>
  <c r="AF38" i="42"/>
  <c r="AE38" i="42"/>
  <c r="AG38" i="42" s="1"/>
  <c r="AN38" i="42" s="1"/>
  <c r="V38" i="42"/>
  <c r="U38" i="42"/>
  <c r="Z38" i="42" s="1"/>
  <c r="T38" i="42"/>
  <c r="S38" i="42"/>
  <c r="AM37" i="42"/>
  <c r="AK37" i="42"/>
  <c r="AI37" i="42"/>
  <c r="AJ37" i="42" s="1"/>
  <c r="AF37" i="42"/>
  <c r="AE37" i="42"/>
  <c r="AG37" i="42" s="1"/>
  <c r="AN37" i="42" s="1"/>
  <c r="U37" i="42"/>
  <c r="V37" i="42" s="1"/>
  <c r="T37" i="42"/>
  <c r="S37" i="42"/>
  <c r="AN36" i="42"/>
  <c r="AM36" i="42"/>
  <c r="AJ36" i="42"/>
  <c r="AI36" i="42"/>
  <c r="AG36" i="42"/>
  <c r="AF36" i="42"/>
  <c r="AH36" i="42" s="1"/>
  <c r="AL36" i="42" s="1"/>
  <c r="AE36" i="42"/>
  <c r="AK36" i="42" s="1"/>
  <c r="V36" i="42"/>
  <c r="U36" i="42"/>
  <c r="X36" i="42" s="1"/>
  <c r="T36" i="42"/>
  <c r="S36" i="42"/>
  <c r="AN35" i="42"/>
  <c r="AM35" i="42"/>
  <c r="AJ35" i="42"/>
  <c r="AI35" i="42"/>
  <c r="AG35" i="42"/>
  <c r="AF35" i="42"/>
  <c r="AH35" i="42" s="1"/>
  <c r="AL35" i="42" s="1"/>
  <c r="AE35" i="42"/>
  <c r="AK35" i="42" s="1"/>
  <c r="V35" i="42"/>
  <c r="U35" i="42"/>
  <c r="W35" i="42" s="1"/>
  <c r="T35" i="42"/>
  <c r="S35" i="42"/>
  <c r="J35" i="42"/>
  <c r="AI34" i="42"/>
  <c r="AJ34" i="42" s="1"/>
  <c r="AF34" i="42"/>
  <c r="AM34" i="42" s="1"/>
  <c r="AE34" i="42"/>
  <c r="AK34" i="42" s="1"/>
  <c r="V34" i="42"/>
  <c r="U34" i="42"/>
  <c r="Y34" i="42" s="1"/>
  <c r="T34" i="42"/>
  <c r="S34" i="42"/>
  <c r="AI33" i="42"/>
  <c r="AJ33" i="42" s="1"/>
  <c r="AF33" i="42"/>
  <c r="AM33" i="42" s="1"/>
  <c r="AE33" i="42"/>
  <c r="AK33" i="42" s="1"/>
  <c r="V33" i="42"/>
  <c r="U33" i="42"/>
  <c r="Y33" i="42" s="1"/>
  <c r="T33" i="42"/>
  <c r="S33" i="42"/>
  <c r="AJ32" i="42"/>
  <c r="AI32" i="42"/>
  <c r="AH32" i="42"/>
  <c r="AL32" i="42" s="1"/>
  <c r="AG32" i="42"/>
  <c r="AN32" i="42" s="1"/>
  <c r="AF32" i="42"/>
  <c r="AM32" i="42" s="1"/>
  <c r="AE32" i="42"/>
  <c r="AK32" i="42" s="1"/>
  <c r="Y32" i="42"/>
  <c r="X32" i="42"/>
  <c r="W32" i="42"/>
  <c r="V32" i="42"/>
  <c r="U32" i="42"/>
  <c r="Z32" i="42" s="1"/>
  <c r="AJ31" i="42"/>
  <c r="AI31" i="42"/>
  <c r="AH31" i="42"/>
  <c r="AL31" i="42" s="1"/>
  <c r="AG31" i="42"/>
  <c r="AN31" i="42" s="1"/>
  <c r="AF31" i="42"/>
  <c r="AM31" i="42" s="1"/>
  <c r="AE31" i="42"/>
  <c r="AK31" i="42" s="1"/>
  <c r="Y31" i="42"/>
  <c r="X31" i="42"/>
  <c r="W31" i="42"/>
  <c r="V31" i="42"/>
  <c r="U31" i="42"/>
  <c r="Z31" i="42" s="1"/>
  <c r="J31" i="42"/>
  <c r="AI30" i="42"/>
  <c r="AJ30" i="42" s="1"/>
  <c r="AF30" i="42"/>
  <c r="AM30" i="42" s="1"/>
  <c r="AE30" i="42"/>
  <c r="AK30" i="42" s="1"/>
  <c r="Z30" i="42"/>
  <c r="Y30" i="42"/>
  <c r="AA30" i="42" s="1"/>
  <c r="X30" i="42"/>
  <c r="W30" i="42"/>
  <c r="V30" i="42"/>
  <c r="U30" i="42"/>
  <c r="S30" i="42"/>
  <c r="AI29" i="42"/>
  <c r="AJ29" i="42" s="1"/>
  <c r="AF29" i="42"/>
  <c r="AM29" i="42" s="1"/>
  <c r="AE29" i="42"/>
  <c r="AK29" i="42" s="1"/>
  <c r="Z29" i="42"/>
  <c r="Y29" i="42"/>
  <c r="AA29" i="42" s="1"/>
  <c r="X29" i="42"/>
  <c r="W29" i="42"/>
  <c r="V29" i="42"/>
  <c r="U29" i="42"/>
  <c r="S29" i="42"/>
  <c r="AJ28" i="42"/>
  <c r="AI28" i="42"/>
  <c r="AF28" i="42"/>
  <c r="AM28" i="42" s="1"/>
  <c r="AE28" i="42"/>
  <c r="AK28" i="42" s="1"/>
  <c r="AA28" i="42"/>
  <c r="Z28" i="42"/>
  <c r="Y28" i="42"/>
  <c r="X28" i="42"/>
  <c r="V28" i="42"/>
  <c r="U28" i="42"/>
  <c r="W28" i="42" s="1"/>
  <c r="T28" i="42"/>
  <c r="J28" i="42"/>
  <c r="AI27" i="42"/>
  <c r="AJ27" i="42" s="1"/>
  <c r="AF27" i="42"/>
  <c r="AM27" i="42" s="1"/>
  <c r="AE27" i="42"/>
  <c r="AG27" i="42" s="1"/>
  <c r="AN27" i="42" s="1"/>
  <c r="AA27" i="42"/>
  <c r="Z27" i="42"/>
  <c r="Y27" i="42"/>
  <c r="V27" i="42"/>
  <c r="U27" i="42"/>
  <c r="X27" i="42" s="1"/>
  <c r="AI26" i="42"/>
  <c r="AJ26" i="42" s="1"/>
  <c r="AF26" i="42"/>
  <c r="AM26" i="42" s="1"/>
  <c r="AE26" i="42"/>
  <c r="AG26" i="42" s="1"/>
  <c r="AN26" i="42" s="1"/>
  <c r="AA26" i="42"/>
  <c r="Z26" i="42"/>
  <c r="Y26" i="42"/>
  <c r="U26" i="42"/>
  <c r="X26" i="42" s="1"/>
  <c r="AI25" i="42"/>
  <c r="AJ25" i="42" s="1"/>
  <c r="AF25" i="42"/>
  <c r="AE25" i="42"/>
  <c r="AK25" i="42" s="1"/>
  <c r="AA25" i="42"/>
  <c r="Z25" i="42"/>
  <c r="Y25" i="42"/>
  <c r="X25" i="42"/>
  <c r="W25" i="42"/>
  <c r="V25" i="42"/>
  <c r="U25" i="42"/>
  <c r="J25" i="42"/>
  <c r="AI24" i="42"/>
  <c r="AK24" i="42" s="1"/>
  <c r="AH24" i="42"/>
  <c r="AL24" i="42" s="1"/>
  <c r="AG24" i="42"/>
  <c r="AN24" i="42" s="1"/>
  <c r="AF24" i="42"/>
  <c r="AM24" i="42" s="1"/>
  <c r="AE24" i="42"/>
  <c r="Z24" i="42"/>
  <c r="AA24" i="42" s="1"/>
  <c r="Y24" i="42"/>
  <c r="W24" i="42"/>
  <c r="V24" i="42"/>
  <c r="U24" i="42"/>
  <c r="X24" i="42" s="1"/>
  <c r="AI23" i="42"/>
  <c r="AJ23" i="42" s="1"/>
  <c r="AH23" i="42"/>
  <c r="AL23" i="42" s="1"/>
  <c r="AG23" i="42"/>
  <c r="AN23" i="42" s="1"/>
  <c r="AF23" i="42"/>
  <c r="AM23" i="42" s="1"/>
  <c r="AE23" i="42"/>
  <c r="Z23" i="42"/>
  <c r="AA23" i="42" s="1"/>
  <c r="Y23" i="42"/>
  <c r="W23" i="42"/>
  <c r="V23" i="42"/>
  <c r="U23" i="42"/>
  <c r="X23" i="42" s="1"/>
  <c r="AK22" i="42"/>
  <c r="AJ22" i="42"/>
  <c r="AI22" i="42"/>
  <c r="AM22" i="42" s="1"/>
  <c r="AF22" i="42"/>
  <c r="AE22" i="42"/>
  <c r="AG22" i="42" s="1"/>
  <c r="V22" i="42"/>
  <c r="U22" i="42"/>
  <c r="Z22" i="42" s="1"/>
  <c r="J22" i="42"/>
  <c r="AK21" i="42"/>
  <c r="AJ21" i="42"/>
  <c r="AI21" i="42"/>
  <c r="AM21" i="42" s="1"/>
  <c r="AF21" i="42"/>
  <c r="AE21" i="42"/>
  <c r="AG21" i="42" s="1"/>
  <c r="AN21" i="42" s="1"/>
  <c r="V21" i="42"/>
  <c r="U21" i="42"/>
  <c r="Z21" i="42" s="1"/>
  <c r="AK20" i="42"/>
  <c r="AJ20" i="42"/>
  <c r="AI20" i="42"/>
  <c r="AM20" i="42" s="1"/>
  <c r="AF20" i="42"/>
  <c r="AE20" i="42"/>
  <c r="AG20" i="42" s="1"/>
  <c r="AN20" i="42" s="1"/>
  <c r="V20" i="42"/>
  <c r="U20" i="42"/>
  <c r="Z20" i="42" s="1"/>
  <c r="AK19" i="42"/>
  <c r="AJ19" i="42"/>
  <c r="AI19" i="42"/>
  <c r="AM19" i="42" s="1"/>
  <c r="AF19" i="42"/>
  <c r="AE19" i="42"/>
  <c r="AG19" i="42" s="1"/>
  <c r="AN19" i="42" s="1"/>
  <c r="V19" i="42"/>
  <c r="U19" i="42"/>
  <c r="Z19" i="42" s="1"/>
  <c r="AN18" i="42"/>
  <c r="AM18" i="42"/>
  <c r="AK18" i="42"/>
  <c r="AI18" i="42"/>
  <c r="AJ18" i="42" s="1"/>
  <c r="AG18" i="42"/>
  <c r="AH18" i="42" s="1"/>
  <c r="AL18" i="42" s="1"/>
  <c r="AF18" i="42"/>
  <c r="AE18" i="42"/>
  <c r="X18" i="42"/>
  <c r="V18" i="42"/>
  <c r="U18" i="42"/>
  <c r="Z18" i="42" s="1"/>
  <c r="J18" i="42"/>
  <c r="AN17" i="42"/>
  <c r="AM17" i="42"/>
  <c r="AL17" i="42"/>
  <c r="AI17" i="42"/>
  <c r="AK17" i="42" s="1"/>
  <c r="AH17" i="42"/>
  <c r="AG17" i="42"/>
  <c r="AF17" i="42"/>
  <c r="AE17" i="42"/>
  <c r="Y17" i="42"/>
  <c r="X17" i="42"/>
  <c r="W17" i="42"/>
  <c r="V17" i="42"/>
  <c r="U17" i="42"/>
  <c r="Z17" i="42" s="1"/>
  <c r="AN16" i="42"/>
  <c r="AM16" i="42"/>
  <c r="AL16" i="42"/>
  <c r="AI16" i="42"/>
  <c r="AK16" i="42" s="1"/>
  <c r="AH16" i="42"/>
  <c r="AG16" i="42"/>
  <c r="AF16" i="42"/>
  <c r="AE16" i="42"/>
  <c r="Y16" i="42"/>
  <c r="X16" i="42"/>
  <c r="W16" i="42"/>
  <c r="V16" i="42"/>
  <c r="U16" i="42"/>
  <c r="Z16" i="42" s="1"/>
  <c r="AN15" i="42"/>
  <c r="AK15" i="42"/>
  <c r="AJ15" i="42"/>
  <c r="AI15" i="42"/>
  <c r="AM15" i="42" s="1"/>
  <c r="AG15" i="42"/>
  <c r="AF15" i="42"/>
  <c r="AH15" i="42" s="1"/>
  <c r="AL15" i="42" s="1"/>
  <c r="AE15" i="42"/>
  <c r="U15" i="42"/>
  <c r="Y15" i="42" s="1"/>
  <c r="T15" i="42"/>
  <c r="S15" i="42"/>
  <c r="AM14" i="42"/>
  <c r="AK14" i="42"/>
  <c r="AI14" i="42"/>
  <c r="AJ14" i="42" s="1"/>
  <c r="AF14" i="42"/>
  <c r="AE14" i="42"/>
  <c r="AG14" i="42" s="1"/>
  <c r="AN14" i="42" s="1"/>
  <c r="U14" i="42"/>
  <c r="W14" i="42" s="1"/>
  <c r="T14" i="42"/>
  <c r="S14" i="42"/>
  <c r="Q4" i="42"/>
  <c r="T39" i="42" s="1"/>
  <c r="Q3" i="42"/>
  <c r="S47" i="42" s="1"/>
  <c r="AB20" i="43" l="1"/>
  <c r="AA38" i="43"/>
  <c r="AB38" i="43" s="1"/>
  <c r="AB24" i="43"/>
  <c r="AH45" i="43"/>
  <c r="AL45" i="43" s="1"/>
  <c r="AH20" i="43"/>
  <c r="AL20" i="43" s="1"/>
  <c r="AH29" i="43"/>
  <c r="AL29" i="43" s="1"/>
  <c r="AN29" i="43"/>
  <c r="AH25" i="43"/>
  <c r="AL25" i="43" s="1"/>
  <c r="AN25" i="43"/>
  <c r="AH49" i="43"/>
  <c r="AL49" i="43" s="1"/>
  <c r="AN49" i="43"/>
  <c r="AH43" i="43"/>
  <c r="AL43" i="43" s="1"/>
  <c r="AN46" i="43"/>
  <c r="AH46" i="43"/>
  <c r="AL46" i="43" s="1"/>
  <c r="V14" i="43"/>
  <c r="V37" i="43"/>
  <c r="AH47" i="43"/>
  <c r="AL47" i="43" s="1"/>
  <c r="AG48" i="43"/>
  <c r="AN48" i="43" s="1"/>
  <c r="X14" i="43"/>
  <c r="X58" i="43" s="1"/>
  <c r="V15" i="43"/>
  <c r="AH28" i="43"/>
  <c r="AL28" i="43" s="1"/>
  <c r="X37" i="43"/>
  <c r="X38" i="43"/>
  <c r="V39" i="43"/>
  <c r="AH26" i="43"/>
  <c r="AL26" i="43" s="1"/>
  <c r="X39" i="43"/>
  <c r="AK28" i="43"/>
  <c r="AH31" i="43"/>
  <c r="AL31" i="43" s="1"/>
  <c r="AH32" i="43"/>
  <c r="AL32" i="43" s="1"/>
  <c r="Y39" i="43"/>
  <c r="X40" i="43"/>
  <c r="V41" i="43"/>
  <c r="S44" i="43"/>
  <c r="AG50" i="43"/>
  <c r="AN50" i="43" s="1"/>
  <c r="Z15" i="43"/>
  <c r="X16" i="43"/>
  <c r="X17" i="43"/>
  <c r="W18" i="43"/>
  <c r="W58" i="43" s="1"/>
  <c r="AM27" i="43"/>
  <c r="AM58" i="43" s="1"/>
  <c r="AG33" i="43"/>
  <c r="AN33" i="43" s="1"/>
  <c r="AG34" i="43"/>
  <c r="AN34" i="43" s="1"/>
  <c r="Z39" i="43"/>
  <c r="Y40" i="43"/>
  <c r="AA40" i="43" s="1"/>
  <c r="AB40" i="43" s="1"/>
  <c r="W41" i="43"/>
  <c r="W42" i="43"/>
  <c r="T44" i="43"/>
  <c r="AG51" i="43"/>
  <c r="AN51" i="43" s="1"/>
  <c r="AG52" i="43"/>
  <c r="AN52" i="43" s="1"/>
  <c r="AG30" i="43"/>
  <c r="Y17" i="43"/>
  <c r="X18" i="43"/>
  <c r="AK29" i="43"/>
  <c r="AK58" i="43" s="1"/>
  <c r="AG35" i="43"/>
  <c r="AN35" i="43" s="1"/>
  <c r="AG36" i="43"/>
  <c r="AN36" i="43" s="1"/>
  <c r="X41" i="43"/>
  <c r="X42" i="43"/>
  <c r="W43" i="43"/>
  <c r="S45" i="43"/>
  <c r="AK49" i="43"/>
  <c r="AH51" i="43"/>
  <c r="AL51" i="43" s="1"/>
  <c r="AH52" i="43"/>
  <c r="AL52" i="43" s="1"/>
  <c r="Z16" i="43"/>
  <c r="Z17" i="43"/>
  <c r="Y18" i="43"/>
  <c r="AA18" i="43" s="1"/>
  <c r="AB18" i="43" s="1"/>
  <c r="W19" i="43"/>
  <c r="W20" i="43"/>
  <c r="W21" i="43"/>
  <c r="Y41" i="43"/>
  <c r="AA41" i="43" s="1"/>
  <c r="Y42" i="43"/>
  <c r="AA42" i="43" s="1"/>
  <c r="AB42" i="43" s="1"/>
  <c r="X43" i="43"/>
  <c r="V44" i="43"/>
  <c r="T45" i="43"/>
  <c r="AG53" i="43"/>
  <c r="AN53" i="43" s="1"/>
  <c r="X15" i="43"/>
  <c r="AG14" i="43"/>
  <c r="AN14" i="43" s="1"/>
  <c r="X19" i="43"/>
  <c r="X20" i="43"/>
  <c r="X21" i="43"/>
  <c r="W22" i="43"/>
  <c r="AG37" i="43"/>
  <c r="AN37" i="43" s="1"/>
  <c r="AG38" i="43"/>
  <c r="AN38" i="43" s="1"/>
  <c r="Y43" i="43"/>
  <c r="AA43" i="43" s="1"/>
  <c r="AB43" i="43" s="1"/>
  <c r="W44" i="43"/>
  <c r="AH53" i="43"/>
  <c r="AL53" i="43" s="1"/>
  <c r="Y37" i="43"/>
  <c r="AA37" i="43" s="1"/>
  <c r="Y19" i="43"/>
  <c r="AA19" i="43" s="1"/>
  <c r="Y20" i="43"/>
  <c r="AA20" i="43" s="1"/>
  <c r="Y21" i="43"/>
  <c r="AA21" i="43" s="1"/>
  <c r="AB21" i="43" s="1"/>
  <c r="X22" i="43"/>
  <c r="V23" i="43"/>
  <c r="S25" i="43"/>
  <c r="S58" i="43" s="1"/>
  <c r="X44" i="43"/>
  <c r="V45" i="43"/>
  <c r="S46" i="43"/>
  <c r="Y15" i="43"/>
  <c r="AG15" i="43"/>
  <c r="Y22" i="43"/>
  <c r="AA22" i="43" s="1"/>
  <c r="AB22" i="43" s="1"/>
  <c r="W23" i="43"/>
  <c r="W24" i="43"/>
  <c r="T25" i="43"/>
  <c r="T58" i="43" s="1"/>
  <c r="AG39" i="43"/>
  <c r="Y44" i="43"/>
  <c r="AA44" i="43" s="1"/>
  <c r="W45" i="43"/>
  <c r="T46" i="43"/>
  <c r="Y14" i="43"/>
  <c r="X23" i="43"/>
  <c r="X24" i="43"/>
  <c r="S26" i="43"/>
  <c r="S27" i="43"/>
  <c r="X45" i="43"/>
  <c r="S47" i="43"/>
  <c r="AG16" i="43"/>
  <c r="AN16" i="43" s="1"/>
  <c r="AG17" i="43"/>
  <c r="AN17" i="43" s="1"/>
  <c r="Y23" i="43"/>
  <c r="AA23" i="43" s="1"/>
  <c r="Y24" i="43"/>
  <c r="AA24" i="43" s="1"/>
  <c r="V25" i="43"/>
  <c r="T26" i="43"/>
  <c r="T27" i="43"/>
  <c r="S28" i="43"/>
  <c r="AB28" i="43" s="1"/>
  <c r="AH40" i="43"/>
  <c r="AL40" i="43" s="1"/>
  <c r="Y45" i="43"/>
  <c r="AA45" i="43" s="1"/>
  <c r="V46" i="43"/>
  <c r="T47" i="43"/>
  <c r="S48" i="43"/>
  <c r="AB48" i="43" s="1"/>
  <c r="Y16" i="43"/>
  <c r="AH16" i="43"/>
  <c r="AL16" i="43" s="1"/>
  <c r="AH17" i="43"/>
  <c r="AL17" i="43" s="1"/>
  <c r="AG18" i="43"/>
  <c r="AN18" i="43" s="1"/>
  <c r="W25" i="43"/>
  <c r="T28" i="43"/>
  <c r="AG41" i="43"/>
  <c r="AN41" i="43" s="1"/>
  <c r="AG42" i="43"/>
  <c r="AN42" i="43" s="1"/>
  <c r="W46" i="43"/>
  <c r="T48" i="43"/>
  <c r="X25" i="43"/>
  <c r="V26" i="43"/>
  <c r="S29" i="43"/>
  <c r="S30" i="43"/>
  <c r="AH41" i="43"/>
  <c r="AL41" i="43" s="1"/>
  <c r="AH42" i="43"/>
  <c r="AL42" i="43" s="1"/>
  <c r="AG43" i="43"/>
  <c r="AN43" i="43" s="1"/>
  <c r="X46" i="43"/>
  <c r="V47" i="43"/>
  <c r="S49" i="43"/>
  <c r="V16" i="43"/>
  <c r="AG19" i="43"/>
  <c r="AN19" i="43" s="1"/>
  <c r="AG20" i="43"/>
  <c r="AN20" i="43" s="1"/>
  <c r="Y25" i="43"/>
  <c r="AA25" i="43" s="1"/>
  <c r="T29" i="43"/>
  <c r="T30" i="43"/>
  <c r="S31" i="43"/>
  <c r="AB31" i="43" s="1"/>
  <c r="S32" i="43"/>
  <c r="AB32" i="43" s="1"/>
  <c r="Y46" i="43"/>
  <c r="AA46" i="43" s="1"/>
  <c r="W47" i="43"/>
  <c r="T49" i="43"/>
  <c r="Z38" i="43"/>
  <c r="X26" i="43"/>
  <c r="X27" i="43"/>
  <c r="T31" i="43"/>
  <c r="T32" i="43"/>
  <c r="X47" i="43"/>
  <c r="W48" i="43"/>
  <c r="S50" i="43"/>
  <c r="Y26" i="43"/>
  <c r="AA26" i="43" s="1"/>
  <c r="Y27" i="43"/>
  <c r="AA27" i="43" s="1"/>
  <c r="S33" i="43"/>
  <c r="S34" i="43"/>
  <c r="AB34" i="43" s="1"/>
  <c r="Y47" i="43"/>
  <c r="AA47" i="43" s="1"/>
  <c r="X48" i="43"/>
  <c r="T50" i="43"/>
  <c r="S51" i="43"/>
  <c r="AB51" i="43" s="1"/>
  <c r="S52" i="43"/>
  <c r="AB52" i="43" s="1"/>
  <c r="Z14" i="43"/>
  <c r="AJ19" i="43"/>
  <c r="AJ58" i="43" s="1"/>
  <c r="AJ20" i="43"/>
  <c r="AJ21" i="43"/>
  <c r="T33" i="43"/>
  <c r="T34" i="43"/>
  <c r="S35" i="43"/>
  <c r="S36" i="43"/>
  <c r="Y48" i="43"/>
  <c r="AA48" i="43" s="1"/>
  <c r="W49" i="43"/>
  <c r="T51" i="43"/>
  <c r="T52" i="43"/>
  <c r="W31" i="43"/>
  <c r="W32" i="43"/>
  <c r="T35" i="43"/>
  <c r="T36" i="43"/>
  <c r="X49" i="43"/>
  <c r="V50" i="43"/>
  <c r="S53" i="43"/>
  <c r="S37" i="43"/>
  <c r="T53" i="43"/>
  <c r="T37" i="43"/>
  <c r="E81" i="42"/>
  <c r="E75" i="42"/>
  <c r="E76" i="42" s="1"/>
  <c r="E83" i="42" s="1"/>
  <c r="AH20" i="42"/>
  <c r="AL20" i="42" s="1"/>
  <c r="AA16" i="42"/>
  <c r="AH37" i="42"/>
  <c r="AL37" i="42" s="1"/>
  <c r="AH14" i="42"/>
  <c r="AH21" i="42"/>
  <c r="AL21" i="42" s="1"/>
  <c r="AA50" i="42"/>
  <c r="AB38" i="42"/>
  <c r="AN44" i="42"/>
  <c r="AH44" i="42"/>
  <c r="AL44" i="42" s="1"/>
  <c r="AH53" i="42"/>
  <c r="AL53" i="42" s="1"/>
  <c r="AK58" i="42"/>
  <c r="AN40" i="42"/>
  <c r="AH40" i="42"/>
  <c r="AL40" i="42" s="1"/>
  <c r="AB35" i="42"/>
  <c r="T58" i="42"/>
  <c r="W58" i="42"/>
  <c r="AH38" i="42"/>
  <c r="AL38" i="42" s="1"/>
  <c r="K63" i="42"/>
  <c r="AA32" i="42"/>
  <c r="AN22" i="42"/>
  <c r="AH22" i="42"/>
  <c r="AL22" i="42" s="1"/>
  <c r="AA17" i="42"/>
  <c r="AN49" i="42"/>
  <c r="AH49" i="42"/>
  <c r="AL49" i="42" s="1"/>
  <c r="AH19" i="42"/>
  <c r="AL19" i="42" s="1"/>
  <c r="AB30" i="42"/>
  <c r="AM58" i="42"/>
  <c r="AA31" i="42"/>
  <c r="T26" i="42"/>
  <c r="T27" i="42"/>
  <c r="S28" i="42"/>
  <c r="AB28" i="42" s="1"/>
  <c r="T47" i="42"/>
  <c r="S48" i="42"/>
  <c r="AB48" i="42" s="1"/>
  <c r="T48" i="42"/>
  <c r="S49" i="42"/>
  <c r="AI58" i="42"/>
  <c r="V26" i="42"/>
  <c r="AJ17" i="42"/>
  <c r="W26" i="42"/>
  <c r="W27" i="42"/>
  <c r="T29" i="42"/>
  <c r="T30" i="42"/>
  <c r="S31" i="42"/>
  <c r="S32" i="42"/>
  <c r="W47" i="42"/>
  <c r="T49" i="42"/>
  <c r="AJ16" i="42"/>
  <c r="AJ58" i="42" s="1"/>
  <c r="T31" i="42"/>
  <c r="T32" i="42"/>
  <c r="S50" i="42"/>
  <c r="T50" i="42"/>
  <c r="S51" i="42"/>
  <c r="S52" i="42"/>
  <c r="AG25" i="42"/>
  <c r="AN25" i="42" s="1"/>
  <c r="W34" i="42"/>
  <c r="AG47" i="42"/>
  <c r="AN47" i="42" s="1"/>
  <c r="Y51" i="42"/>
  <c r="Y52" i="42"/>
  <c r="AA52" i="42" s="1"/>
  <c r="W53" i="42"/>
  <c r="W33" i="42"/>
  <c r="X33" i="42"/>
  <c r="S16" i="42"/>
  <c r="AH26" i="42"/>
  <c r="AL26" i="42" s="1"/>
  <c r="AH27" i="42"/>
  <c r="AL27" i="42" s="1"/>
  <c r="AG28" i="42"/>
  <c r="AN28" i="42" s="1"/>
  <c r="Z33" i="42"/>
  <c r="AA33" i="42" s="1"/>
  <c r="Z34" i="42"/>
  <c r="AA34" i="42" s="1"/>
  <c r="AB34" i="42" s="1"/>
  <c r="Y35" i="42"/>
  <c r="AA35" i="42" s="1"/>
  <c r="Y36" i="42"/>
  <c r="AA36" i="42" s="1"/>
  <c r="AB36" i="42" s="1"/>
  <c r="W37" i="42"/>
  <c r="W38" i="42"/>
  <c r="T40" i="42"/>
  <c r="AH47" i="42"/>
  <c r="AL47" i="42" s="1"/>
  <c r="AG48" i="42"/>
  <c r="AN48" i="42" s="1"/>
  <c r="Z51" i="42"/>
  <c r="Z52" i="42"/>
  <c r="X53" i="42"/>
  <c r="S17" i="42"/>
  <c r="V15" i="42"/>
  <c r="T17" i="42"/>
  <c r="S18" i="42"/>
  <c r="Z35" i="42"/>
  <c r="Z36" i="42"/>
  <c r="X37" i="42"/>
  <c r="X38" i="42"/>
  <c r="V39" i="42"/>
  <c r="S41" i="42"/>
  <c r="S42" i="42"/>
  <c r="AB42" i="42" s="1"/>
  <c r="Y53" i="42"/>
  <c r="AA53" i="42" s="1"/>
  <c r="W36" i="42"/>
  <c r="X14" i="42"/>
  <c r="T16" i="42"/>
  <c r="Y14" i="42"/>
  <c r="W15" i="42"/>
  <c r="T18" i="42"/>
  <c r="AG29" i="42"/>
  <c r="AG30" i="42"/>
  <c r="Y37" i="42"/>
  <c r="Y38" i="42"/>
  <c r="AA38" i="42" s="1"/>
  <c r="W39" i="42"/>
  <c r="T41" i="42"/>
  <c r="T42" i="42"/>
  <c r="S43" i="42"/>
  <c r="Z53" i="42"/>
  <c r="Z14" i="42"/>
  <c r="X15" i="42"/>
  <c r="S19" i="42"/>
  <c r="S20" i="42"/>
  <c r="S21" i="42"/>
  <c r="AM25" i="42"/>
  <c r="AK26" i="42"/>
  <c r="AK27" i="42"/>
  <c r="Z37" i="42"/>
  <c r="X39" i="42"/>
  <c r="T43" i="42"/>
  <c r="AM46" i="42"/>
  <c r="AJ45" i="42"/>
  <c r="X34" i="42"/>
  <c r="T21" i="42"/>
  <c r="Y39" i="42"/>
  <c r="AA39" i="42" s="1"/>
  <c r="S44" i="42"/>
  <c r="AK23" i="42"/>
  <c r="V14" i="42"/>
  <c r="T19" i="42"/>
  <c r="T20" i="42"/>
  <c r="S22" i="42"/>
  <c r="Z15" i="42"/>
  <c r="AA15" i="42" s="1"/>
  <c r="W18" i="42"/>
  <c r="T22" i="42"/>
  <c r="AG33" i="42"/>
  <c r="AG34" i="42"/>
  <c r="W41" i="42"/>
  <c r="W42" i="42"/>
  <c r="T44" i="42"/>
  <c r="AH50" i="42"/>
  <c r="AL50" i="42" s="1"/>
  <c r="AG51" i="42"/>
  <c r="AG52" i="42"/>
  <c r="X35" i="42"/>
  <c r="S24" i="42"/>
  <c r="S45" i="42"/>
  <c r="Y18" i="42"/>
  <c r="AA18" i="42" s="1"/>
  <c r="W20" i="42"/>
  <c r="T23" i="42"/>
  <c r="T24" i="42"/>
  <c r="Y41" i="42"/>
  <c r="AA41" i="42" s="1"/>
  <c r="Y42" i="42"/>
  <c r="AA42" i="42" s="1"/>
  <c r="X43" i="42"/>
  <c r="V44" i="42"/>
  <c r="T45" i="42"/>
  <c r="AG53" i="42"/>
  <c r="AN53" i="42" s="1"/>
  <c r="S40" i="42"/>
  <c r="W19" i="42"/>
  <c r="W21" i="42"/>
  <c r="X19" i="42"/>
  <c r="X20" i="42"/>
  <c r="X21" i="42"/>
  <c r="W22" i="42"/>
  <c r="Y43" i="42"/>
  <c r="AA43" i="42" s="1"/>
  <c r="W44" i="42"/>
  <c r="AJ24" i="42"/>
  <c r="S23" i="42"/>
  <c r="S58" i="42" s="1"/>
  <c r="Y19" i="42"/>
  <c r="AA19" i="42" s="1"/>
  <c r="Y20" i="42"/>
  <c r="AA20" i="42" s="1"/>
  <c r="Y21" i="42"/>
  <c r="AA21" i="42" s="1"/>
  <c r="X22" i="42"/>
  <c r="S25" i="42"/>
  <c r="X44" i="42"/>
  <c r="S46" i="42"/>
  <c r="Y22" i="42"/>
  <c r="AA22" i="42" s="1"/>
  <c r="T25" i="42"/>
  <c r="Y44" i="42"/>
  <c r="AA44" i="42" s="1"/>
  <c r="W45" i="42"/>
  <c r="T46" i="42"/>
  <c r="S26" i="42"/>
  <c r="S27" i="42"/>
  <c r="AB27" i="42" s="1"/>
  <c r="AQ43" i="43" l="1"/>
  <c r="AR43" i="43" s="1"/>
  <c r="AO43" i="43"/>
  <c r="AP43" i="43" s="1"/>
  <c r="AQ21" i="43"/>
  <c r="AR21" i="43" s="1"/>
  <c r="AO21" i="43"/>
  <c r="AP21" i="43" s="1"/>
  <c r="AQ40" i="43"/>
  <c r="AR40" i="43" s="1"/>
  <c r="AO40" i="43"/>
  <c r="AP40" i="43" s="1"/>
  <c r="AO22" i="43"/>
  <c r="AP22" i="43" s="1"/>
  <c r="AQ22" i="43"/>
  <c r="AR22" i="43" s="1"/>
  <c r="AQ38" i="43"/>
  <c r="AR38" i="43" s="1"/>
  <c r="AO38" i="43"/>
  <c r="AP38" i="43" s="1"/>
  <c r="AO42" i="43"/>
  <c r="AP42" i="43" s="1"/>
  <c r="AQ42" i="43"/>
  <c r="AR42" i="43" s="1"/>
  <c r="AQ51" i="43"/>
  <c r="AR51" i="43" s="1"/>
  <c r="AO51" i="43"/>
  <c r="AP51" i="43" s="1"/>
  <c r="AO24" i="43"/>
  <c r="AP24" i="43" s="1"/>
  <c r="AQ24" i="43"/>
  <c r="AR24" i="43" s="1"/>
  <c r="Z58" i="43"/>
  <c r="AH18" i="43"/>
  <c r="AL18" i="43" s="1"/>
  <c r="AQ18" i="43" s="1"/>
  <c r="AR18" i="43" s="1"/>
  <c r="V58" i="43"/>
  <c r="AN15" i="43"/>
  <c r="AH15" i="43"/>
  <c r="AL15" i="43" s="1"/>
  <c r="AH34" i="43"/>
  <c r="AL34" i="43" s="1"/>
  <c r="AQ34" i="43" s="1"/>
  <c r="AR34" i="43" s="1"/>
  <c r="AQ20" i="43"/>
  <c r="AR20" i="43" s="1"/>
  <c r="AO20" i="43"/>
  <c r="AP20" i="43" s="1"/>
  <c r="AH33" i="43"/>
  <c r="AL33" i="43" s="1"/>
  <c r="AA39" i="43"/>
  <c r="AQ32" i="43"/>
  <c r="AR32" i="43" s="1"/>
  <c r="AO32" i="43"/>
  <c r="AP32" i="43" s="1"/>
  <c r="AA15" i="43"/>
  <c r="AH38" i="43"/>
  <c r="AL38" i="43" s="1"/>
  <c r="AQ28" i="43"/>
  <c r="AR28" i="43" s="1"/>
  <c r="AO28" i="43"/>
  <c r="AP28" i="43" s="1"/>
  <c r="AB30" i="43"/>
  <c r="AH37" i="43"/>
  <c r="AL37" i="43" s="1"/>
  <c r="AA17" i="43"/>
  <c r="AB17" i="43" s="1"/>
  <c r="AH30" i="43"/>
  <c r="AL30" i="43" s="1"/>
  <c r="AN30" i="43"/>
  <c r="AN58" i="43" s="1"/>
  <c r="AH19" i="43"/>
  <c r="AL19" i="43" s="1"/>
  <c r="AH36" i="43"/>
  <c r="AL36" i="43" s="1"/>
  <c r="AH48" i="43"/>
  <c r="AL48" i="43" s="1"/>
  <c r="AQ48" i="43" s="1"/>
  <c r="AR48" i="43" s="1"/>
  <c r="AA16" i="43"/>
  <c r="AH35" i="43"/>
  <c r="AL35" i="43" s="1"/>
  <c r="AH50" i="43"/>
  <c r="AL50" i="43" s="1"/>
  <c r="AB27" i="43"/>
  <c r="AA14" i="43"/>
  <c r="AA58" i="43" s="1"/>
  <c r="R64" i="43" s="1"/>
  <c r="R65" i="43" s="1"/>
  <c r="Y58" i="43"/>
  <c r="AQ52" i="43"/>
  <c r="AR52" i="43" s="1"/>
  <c r="AO52" i="43"/>
  <c r="AP52" i="43" s="1"/>
  <c r="AB36" i="43"/>
  <c r="AN39" i="43"/>
  <c r="AH39" i="43"/>
  <c r="AL39" i="43" s="1"/>
  <c r="AB35" i="43"/>
  <c r="AQ31" i="43"/>
  <c r="AR31" i="43" s="1"/>
  <c r="AO31" i="43"/>
  <c r="AP31" i="43" s="1"/>
  <c r="AH14" i="43"/>
  <c r="AQ36" i="42"/>
  <c r="AR36" i="42" s="1"/>
  <c r="AO36" i="42"/>
  <c r="AP36" i="42" s="1"/>
  <c r="AN58" i="42"/>
  <c r="AN30" i="42"/>
  <c r="AH30" i="42"/>
  <c r="AL30" i="42" s="1"/>
  <c r="AQ30" i="42" s="1"/>
  <c r="AR30" i="42" s="1"/>
  <c r="AQ38" i="42"/>
  <c r="AR38" i="42" s="1"/>
  <c r="AO38" i="42"/>
  <c r="AP38" i="42" s="1"/>
  <c r="AL14" i="42"/>
  <c r="AQ35" i="42"/>
  <c r="AR35" i="42" s="1"/>
  <c r="AO35" i="42"/>
  <c r="AP35" i="42" s="1"/>
  <c r="X58" i="42"/>
  <c r="AH51" i="42"/>
  <c r="AL51" i="42" s="1"/>
  <c r="AN51" i="42"/>
  <c r="AB21" i="42"/>
  <c r="AH52" i="42"/>
  <c r="AL52" i="42" s="1"/>
  <c r="AN52" i="42"/>
  <c r="AB20" i="42"/>
  <c r="AB40" i="42"/>
  <c r="AH28" i="42"/>
  <c r="AL28" i="42" s="1"/>
  <c r="AQ28" i="42" s="1"/>
  <c r="AR28" i="42" s="1"/>
  <c r="Y58" i="42"/>
  <c r="AA14" i="42"/>
  <c r="AH48" i="42"/>
  <c r="AL48" i="42" s="1"/>
  <c r="AH34" i="42"/>
  <c r="AL34" i="42" s="1"/>
  <c r="AQ34" i="42" s="1"/>
  <c r="AR34" i="42" s="1"/>
  <c r="AN34" i="42"/>
  <c r="AA51" i="42"/>
  <c r="AQ48" i="42"/>
  <c r="AR48" i="42" s="1"/>
  <c r="AO48" i="42"/>
  <c r="AP48" i="42" s="1"/>
  <c r="AB32" i="42"/>
  <c r="AH33" i="42"/>
  <c r="AL33" i="42" s="1"/>
  <c r="AN33" i="42"/>
  <c r="AH25" i="42"/>
  <c r="AL25" i="42" s="1"/>
  <c r="AB24" i="42"/>
  <c r="AQ27" i="42"/>
  <c r="AR27" i="42" s="1"/>
  <c r="AO27" i="42"/>
  <c r="AP27" i="42" s="1"/>
  <c r="AB22" i="42"/>
  <c r="AO42" i="42"/>
  <c r="AP42" i="42" s="1"/>
  <c r="AQ42" i="42"/>
  <c r="AR42" i="42" s="1"/>
  <c r="Z58" i="42"/>
  <c r="AB18" i="42"/>
  <c r="V58" i="42"/>
  <c r="AB17" i="42"/>
  <c r="AN29" i="42"/>
  <c r="AH29" i="42"/>
  <c r="AL29" i="42" s="1"/>
  <c r="AB31" i="42"/>
  <c r="AB43" i="42"/>
  <c r="AB52" i="42"/>
  <c r="AA37" i="42"/>
  <c r="AB51" i="42"/>
  <c r="AQ35" i="43" l="1"/>
  <c r="AR35" i="43" s="1"/>
  <c r="AO35" i="43"/>
  <c r="AP35" i="43" s="1"/>
  <c r="AH58" i="43"/>
  <c r="AH61" i="43" s="1"/>
  <c r="AH62" i="43" s="1"/>
  <c r="AL14" i="43"/>
  <c r="AQ27" i="43"/>
  <c r="AR27" i="43" s="1"/>
  <c r="AO27" i="43"/>
  <c r="AP27" i="43" s="1"/>
  <c r="AO18" i="43"/>
  <c r="AP18" i="43" s="1"/>
  <c r="AO34" i="43"/>
  <c r="AP34" i="43" s="1"/>
  <c r="AO48" i="43"/>
  <c r="AP48" i="43" s="1"/>
  <c r="AQ30" i="43"/>
  <c r="AR30" i="43" s="1"/>
  <c r="AO30" i="43"/>
  <c r="AP30" i="43" s="1"/>
  <c r="AO17" i="43"/>
  <c r="AP17" i="43" s="1"/>
  <c r="AQ17" i="43"/>
  <c r="AR17" i="43" s="1"/>
  <c r="AQ36" i="43"/>
  <c r="AR36" i="43" s="1"/>
  <c r="AO36" i="43"/>
  <c r="AP36" i="43" s="1"/>
  <c r="AQ22" i="42"/>
  <c r="AR22" i="42" s="1"/>
  <c r="AO22" i="42"/>
  <c r="AP22" i="42" s="1"/>
  <c r="AO32" i="42"/>
  <c r="AP32" i="42" s="1"/>
  <c r="AQ32" i="42"/>
  <c r="AR32" i="42" s="1"/>
  <c r="AL61" i="42"/>
  <c r="AL62" i="42" s="1"/>
  <c r="AL58" i="42"/>
  <c r="AO21" i="42"/>
  <c r="AP21" i="42" s="1"/>
  <c r="AQ21" i="42"/>
  <c r="AR21" i="42" s="1"/>
  <c r="AO43" i="42"/>
  <c r="AP43" i="42" s="1"/>
  <c r="AQ43" i="42"/>
  <c r="AR43" i="42" s="1"/>
  <c r="AQ24" i="42"/>
  <c r="AR24" i="42" s="1"/>
  <c r="AO24" i="42"/>
  <c r="AP24" i="42" s="1"/>
  <c r="AQ51" i="42"/>
  <c r="AR51" i="42" s="1"/>
  <c r="AO51" i="42"/>
  <c r="AP51" i="42" s="1"/>
  <c r="AH58" i="42"/>
  <c r="AH61" i="42" s="1"/>
  <c r="AH62" i="42" s="1"/>
  <c r="AQ52" i="42"/>
  <c r="AR52" i="42" s="1"/>
  <c r="AO52" i="42"/>
  <c r="AP52" i="42" s="1"/>
  <c r="AA58" i="42"/>
  <c r="AO18" i="42"/>
  <c r="AP18" i="42" s="1"/>
  <c r="AQ18" i="42"/>
  <c r="AR18" i="42" s="1"/>
  <c r="AQ40" i="42"/>
  <c r="AR40" i="42" s="1"/>
  <c r="AO40" i="42"/>
  <c r="AP40" i="42" s="1"/>
  <c r="AO34" i="42"/>
  <c r="AP34" i="42" s="1"/>
  <c r="AO31" i="42"/>
  <c r="AP31" i="42" s="1"/>
  <c r="AQ31" i="42"/>
  <c r="AR31" i="42" s="1"/>
  <c r="AO20" i="42"/>
  <c r="AP20" i="42" s="1"/>
  <c r="AQ20" i="42"/>
  <c r="AR20" i="42" s="1"/>
  <c r="AO28" i="42"/>
  <c r="AP28" i="42" s="1"/>
  <c r="AQ17" i="42"/>
  <c r="AR17" i="42" s="1"/>
  <c r="AO17" i="42"/>
  <c r="AP17" i="42" s="1"/>
  <c r="AO30" i="42"/>
  <c r="AP30" i="42" s="1"/>
  <c r="AL58" i="43" l="1"/>
  <c r="AL61" i="43"/>
  <c r="AL62" i="43" s="1"/>
  <c r="R64" i="42"/>
  <c r="R65" i="42" s="1"/>
  <c r="R45" i="42" l="1"/>
  <c r="R45" i="43"/>
  <c r="R44" i="42"/>
  <c r="R44" i="43"/>
  <c r="Q45" i="43" l="1"/>
  <c r="AB45" i="43" s="1"/>
  <c r="Q45" i="42"/>
  <c r="AB45" i="42" s="1"/>
  <c r="Q44" i="42"/>
  <c r="AB44" i="42" s="1"/>
  <c r="Q44" i="43"/>
  <c r="AB44" i="43" s="1"/>
  <c r="AQ45" i="42" l="1"/>
  <c r="AR45" i="42" s="1"/>
  <c r="AO45" i="42"/>
  <c r="AP45" i="42" s="1"/>
  <c r="AO45" i="43"/>
  <c r="AP45" i="43" s="1"/>
  <c r="AQ45" i="43"/>
  <c r="AR45" i="43" s="1"/>
  <c r="AQ44" i="43"/>
  <c r="AR44" i="43" s="1"/>
  <c r="AO44" i="43"/>
  <c r="AP44" i="43" s="1"/>
  <c r="AQ44" i="42"/>
  <c r="AR44" i="42" s="1"/>
  <c r="AO44" i="42"/>
  <c r="AP44" i="42" s="1"/>
  <c r="R53" i="43" l="1"/>
  <c r="R53" i="42"/>
  <c r="R50" i="42"/>
  <c r="R47" i="43"/>
  <c r="R50" i="43"/>
  <c r="R47" i="42"/>
  <c r="R37" i="42"/>
  <c r="R37" i="43"/>
  <c r="R29" i="43"/>
  <c r="R29" i="42"/>
  <c r="R26" i="43"/>
  <c r="R26" i="42"/>
  <c r="R25" i="42"/>
  <c r="R25" i="43"/>
  <c r="R15" i="42"/>
  <c r="R15" i="43"/>
  <c r="Q53" i="43" l="1"/>
  <c r="AB53" i="43" s="1"/>
  <c r="Q53" i="42"/>
  <c r="AB53" i="42" s="1"/>
  <c r="Q50" i="42"/>
  <c r="AB50" i="42" s="1"/>
  <c r="Q47" i="43"/>
  <c r="AB47" i="43" s="1"/>
  <c r="Q50" i="43"/>
  <c r="AB50" i="43" s="1"/>
  <c r="Q47" i="42"/>
  <c r="AB47" i="42" s="1"/>
  <c r="R49" i="43"/>
  <c r="R49" i="42"/>
  <c r="Q49" i="42"/>
  <c r="AB49" i="42" s="1"/>
  <c r="Q49" i="43"/>
  <c r="AB49" i="43" s="1"/>
  <c r="Q46" i="42"/>
  <c r="Q46" i="43"/>
  <c r="R46" i="42"/>
  <c r="R46" i="43"/>
  <c r="Q41" i="43"/>
  <c r="Q41" i="42"/>
  <c r="R41" i="43"/>
  <c r="R41" i="42"/>
  <c r="Q39" i="43"/>
  <c r="Q39" i="42"/>
  <c r="R39" i="42"/>
  <c r="R39" i="43"/>
  <c r="Q37" i="42"/>
  <c r="AB37" i="42" s="1"/>
  <c r="Q37" i="43"/>
  <c r="AB37" i="43" s="1"/>
  <c r="R33" i="42"/>
  <c r="R33" i="43"/>
  <c r="Q33" i="43"/>
  <c r="AB33" i="43" s="1"/>
  <c r="Q33" i="42"/>
  <c r="AB33" i="42" s="1"/>
  <c r="Q29" i="43"/>
  <c r="AB29" i="43" s="1"/>
  <c r="Q29" i="42"/>
  <c r="AB29" i="42" s="1"/>
  <c r="Q26" i="43"/>
  <c r="AB26" i="43" s="1"/>
  <c r="Q26" i="42"/>
  <c r="AB26" i="42" s="1"/>
  <c r="Q25" i="42"/>
  <c r="AB25" i="42" s="1"/>
  <c r="Q25" i="43"/>
  <c r="AB25" i="43" s="1"/>
  <c r="Q23" i="42"/>
  <c r="Q23" i="43"/>
  <c r="R23" i="42"/>
  <c r="R23" i="43"/>
  <c r="Q19" i="42"/>
  <c r="Q19" i="43"/>
  <c r="R19" i="42"/>
  <c r="R19" i="43"/>
  <c r="Q16" i="42"/>
  <c r="Q16" i="43"/>
  <c r="R16" i="42"/>
  <c r="R16" i="43"/>
  <c r="Q15" i="43"/>
  <c r="AB15" i="43" s="1"/>
  <c r="Q15" i="42"/>
  <c r="AB15" i="42" s="1"/>
  <c r="AQ53" i="43" l="1"/>
  <c r="AR53" i="43" s="1"/>
  <c r="AO53" i="43"/>
  <c r="AP53" i="43" s="1"/>
  <c r="AQ53" i="42"/>
  <c r="AR53" i="42" s="1"/>
  <c r="AO53" i="42"/>
  <c r="AP53" i="42" s="1"/>
  <c r="AO50" i="43"/>
  <c r="AP50" i="43" s="1"/>
  <c r="AQ50" i="43"/>
  <c r="AR50" i="43" s="1"/>
  <c r="AQ47" i="43"/>
  <c r="AR47" i="43" s="1"/>
  <c r="AO47" i="43"/>
  <c r="AP47" i="43" s="1"/>
  <c r="AQ50" i="42"/>
  <c r="AR50" i="42" s="1"/>
  <c r="AO50" i="42"/>
  <c r="AP50" i="42" s="1"/>
  <c r="AO47" i="42"/>
  <c r="AP47" i="42" s="1"/>
  <c r="AQ47" i="42"/>
  <c r="AR47" i="42" s="1"/>
  <c r="AO49" i="43"/>
  <c r="AP49" i="43" s="1"/>
  <c r="AQ49" i="43"/>
  <c r="AR49" i="43" s="1"/>
  <c r="AO49" i="42"/>
  <c r="AP49" i="42" s="1"/>
  <c r="AQ49" i="42"/>
  <c r="AR49" i="42" s="1"/>
  <c r="AB46" i="43"/>
  <c r="AB46" i="42"/>
  <c r="AB41" i="42"/>
  <c r="AB41" i="43"/>
  <c r="AB39" i="42"/>
  <c r="AB39" i="43"/>
  <c r="AQ37" i="43"/>
  <c r="AR37" i="43" s="1"/>
  <c r="AO37" i="43"/>
  <c r="AP37" i="43" s="1"/>
  <c r="AQ37" i="42"/>
  <c r="AR37" i="42" s="1"/>
  <c r="AO37" i="42"/>
  <c r="AP37" i="42" s="1"/>
  <c r="AQ33" i="42"/>
  <c r="AR33" i="42" s="1"/>
  <c r="AO33" i="42"/>
  <c r="AP33" i="42" s="1"/>
  <c r="AQ33" i="43"/>
  <c r="AR33" i="43" s="1"/>
  <c r="AO33" i="43"/>
  <c r="AP33" i="43" s="1"/>
  <c r="AQ29" i="42"/>
  <c r="AR29" i="42" s="1"/>
  <c r="AO29" i="42"/>
  <c r="AP29" i="42" s="1"/>
  <c r="AQ29" i="43"/>
  <c r="AR29" i="43" s="1"/>
  <c r="AO29" i="43"/>
  <c r="AP29" i="43" s="1"/>
  <c r="AQ26" i="43"/>
  <c r="AR26" i="43" s="1"/>
  <c r="AO26" i="43"/>
  <c r="AP26" i="43" s="1"/>
  <c r="AQ26" i="42"/>
  <c r="AR26" i="42" s="1"/>
  <c r="AO26" i="42"/>
  <c r="AP26" i="42" s="1"/>
  <c r="AQ25" i="43"/>
  <c r="AR25" i="43" s="1"/>
  <c r="AO25" i="43"/>
  <c r="AP25" i="43" s="1"/>
  <c r="AQ25" i="42"/>
  <c r="AR25" i="42" s="1"/>
  <c r="AO25" i="42"/>
  <c r="AP25" i="42" s="1"/>
  <c r="AB23" i="43"/>
  <c r="AB23" i="42"/>
  <c r="AB19" i="43"/>
  <c r="AB19" i="42"/>
  <c r="AB16" i="43"/>
  <c r="AB16" i="42"/>
  <c r="AO15" i="42"/>
  <c r="AP15" i="42" s="1"/>
  <c r="AQ15" i="42"/>
  <c r="AR15" i="42" s="1"/>
  <c r="AO15" i="43"/>
  <c r="AP15" i="43" s="1"/>
  <c r="AQ15" i="43"/>
  <c r="AR15" i="43" s="1"/>
  <c r="AO46" i="42" l="1"/>
  <c r="AP46" i="42" s="1"/>
  <c r="AQ46" i="42"/>
  <c r="AR46" i="42" s="1"/>
  <c r="AQ46" i="43"/>
  <c r="AR46" i="43" s="1"/>
  <c r="AO46" i="43"/>
  <c r="AP46" i="43" s="1"/>
  <c r="AO41" i="43"/>
  <c r="AP41" i="43" s="1"/>
  <c r="AQ41" i="43"/>
  <c r="AR41" i="43" s="1"/>
  <c r="AO41" i="42"/>
  <c r="AP41" i="42" s="1"/>
  <c r="AQ41" i="42"/>
  <c r="AR41" i="42" s="1"/>
  <c r="AO39" i="43"/>
  <c r="AP39" i="43" s="1"/>
  <c r="AQ39" i="43"/>
  <c r="AR39" i="43" s="1"/>
  <c r="AQ39" i="42"/>
  <c r="AR39" i="42" s="1"/>
  <c r="AO39" i="42"/>
  <c r="AP39" i="42" s="1"/>
  <c r="AQ23" i="42"/>
  <c r="AR23" i="42" s="1"/>
  <c r="AO23" i="42"/>
  <c r="AP23" i="42" s="1"/>
  <c r="AO23" i="43"/>
  <c r="AP23" i="43" s="1"/>
  <c r="AQ23" i="43"/>
  <c r="AR23" i="43" s="1"/>
  <c r="AQ19" i="42"/>
  <c r="AR19" i="42" s="1"/>
  <c r="AO19" i="42"/>
  <c r="AP19" i="42" s="1"/>
  <c r="AO19" i="43"/>
  <c r="AP19" i="43" s="1"/>
  <c r="AQ19" i="43"/>
  <c r="AR19" i="43" s="1"/>
  <c r="AO16" i="42"/>
  <c r="AP16" i="42" s="1"/>
  <c r="AQ16" i="42"/>
  <c r="AR16" i="42" s="1"/>
  <c r="AQ16" i="43"/>
  <c r="AR16" i="43" s="1"/>
  <c r="AO16" i="43"/>
  <c r="AP16" i="43" s="1"/>
  <c r="R14" i="43"/>
  <c r="R58" i="43" s="1"/>
  <c r="R14" i="42"/>
  <c r="R58" i="42" s="1"/>
  <c r="Q14" i="43" l="1"/>
  <c r="Q14" i="42"/>
  <c r="Q58" i="42" l="1"/>
  <c r="R61" i="42" s="1"/>
  <c r="R62" i="42" s="1"/>
  <c r="AB14" i="42"/>
  <c r="Q58" i="43"/>
  <c r="AB14" i="43"/>
  <c r="R61" i="43" l="1"/>
  <c r="R62" i="43" s="1"/>
  <c r="E81" i="43"/>
  <c r="F81" i="43" s="1"/>
  <c r="G13" i="33" s="1"/>
  <c r="AQ14" i="43"/>
  <c r="AO14" i="43"/>
  <c r="AB58" i="43"/>
  <c r="AQ14" i="42"/>
  <c r="AB58" i="42"/>
  <c r="AO14" i="42"/>
  <c r="AQ58" i="42" l="1"/>
  <c r="AR14" i="42"/>
  <c r="AR58" i="42" s="1"/>
  <c r="AO58" i="42"/>
  <c r="AP14" i="42"/>
  <c r="AP58" i="42" s="1"/>
  <c r="AO58" i="43"/>
  <c r="AP14" i="43"/>
  <c r="AP58" i="43" s="1"/>
  <c r="AR14" i="43"/>
  <c r="AR58" i="43" s="1"/>
  <c r="AQ58" i="43"/>
  <c r="E69" i="34" l="1"/>
  <c r="F90" i="34"/>
  <c r="D80" i="41"/>
  <c r="C50" i="32"/>
  <c r="D79" i="41"/>
  <c r="E79" i="41"/>
  <c r="E70" i="41"/>
  <c r="E71" i="41" s="1"/>
  <c r="E73" i="41" s="1"/>
  <c r="E74" i="41" s="1"/>
  <c r="AB58" i="41"/>
  <c r="N58" i="41"/>
  <c r="M58" i="41"/>
  <c r="K58" i="41"/>
  <c r="J58" i="41"/>
  <c r="J62" i="41" s="1"/>
  <c r="AH57" i="41"/>
  <c r="AI57" i="41" s="1"/>
  <c r="AE57" i="41"/>
  <c r="AD57" i="41"/>
  <c r="AJ57" i="41" s="1"/>
  <c r="AA57" i="41"/>
  <c r="AI56" i="41"/>
  <c r="AH56" i="41"/>
  <c r="AE56" i="41"/>
  <c r="AL56" i="41" s="1"/>
  <c r="AD56" i="41"/>
  <c r="AJ56" i="41" s="1"/>
  <c r="AA56" i="41"/>
  <c r="AH55" i="41"/>
  <c r="AI55" i="41" s="1"/>
  <c r="AE55" i="41"/>
  <c r="AD55" i="41"/>
  <c r="AJ55" i="41" s="1"/>
  <c r="AA55" i="41"/>
  <c r="AI54" i="41"/>
  <c r="AH54" i="41"/>
  <c r="AE54" i="41"/>
  <c r="AL54" i="41" s="1"/>
  <c r="AD54" i="41"/>
  <c r="AJ54" i="41" s="1"/>
  <c r="AA54" i="41"/>
  <c r="AH53" i="41"/>
  <c r="AI53" i="41" s="1"/>
  <c r="AE53" i="41"/>
  <c r="AD53" i="41"/>
  <c r="AJ53" i="41" s="1"/>
  <c r="U53" i="41"/>
  <c r="T53" i="41"/>
  <c r="Y53" i="41" s="1"/>
  <c r="S53" i="41"/>
  <c r="R53" i="41"/>
  <c r="H53" i="41"/>
  <c r="I53" i="41" s="1"/>
  <c r="AP52" i="41"/>
  <c r="AN52" i="41"/>
  <c r="AH52" i="41"/>
  <c r="AI51" i="41"/>
  <c r="AH51" i="41"/>
  <c r="AE51" i="41"/>
  <c r="AL51" i="41" s="1"/>
  <c r="AD51" i="41"/>
  <c r="AJ51" i="41" s="1"/>
  <c r="Y51" i="41"/>
  <c r="W51" i="41"/>
  <c r="U51" i="41"/>
  <c r="T51" i="41"/>
  <c r="X51" i="41" s="1"/>
  <c r="Z51" i="41" s="1"/>
  <c r="S51" i="41"/>
  <c r="R51" i="41"/>
  <c r="Q51" i="41"/>
  <c r="P51" i="41"/>
  <c r="AA51" i="41" s="1"/>
  <c r="AI50" i="41"/>
  <c r="AH50" i="41"/>
  <c r="AE50" i="41"/>
  <c r="AL50" i="41" s="1"/>
  <c r="AD50" i="41"/>
  <c r="AJ50" i="41" s="1"/>
  <c r="Y50" i="41"/>
  <c r="W50" i="41"/>
  <c r="U50" i="41"/>
  <c r="T50" i="41"/>
  <c r="X50" i="41" s="1"/>
  <c r="Z50" i="41" s="1"/>
  <c r="S50" i="41"/>
  <c r="R50" i="41"/>
  <c r="AJ49" i="41"/>
  <c r="AH49" i="41"/>
  <c r="AF49" i="41"/>
  <c r="Y49" i="41"/>
  <c r="W49" i="41"/>
  <c r="U49" i="41"/>
  <c r="T49" i="41"/>
  <c r="X49" i="41" s="1"/>
  <c r="S49" i="41"/>
  <c r="R49" i="41"/>
  <c r="I49" i="41"/>
  <c r="H49" i="41"/>
  <c r="AP48" i="41"/>
  <c r="AN48" i="41"/>
  <c r="AH48" i="41"/>
  <c r="AP47" i="41"/>
  <c r="AN47" i="41"/>
  <c r="AH47" i="41"/>
  <c r="AI46" i="41"/>
  <c r="AH46" i="41"/>
  <c r="AE46" i="41"/>
  <c r="AD46" i="41"/>
  <c r="AJ46" i="41" s="1"/>
  <c r="Y46" i="41"/>
  <c r="W46" i="41"/>
  <c r="U46" i="41"/>
  <c r="T46" i="41"/>
  <c r="X46" i="41" s="1"/>
  <c r="Z46" i="41" s="1"/>
  <c r="S46" i="41"/>
  <c r="R46" i="41"/>
  <c r="Q46" i="41"/>
  <c r="AA46" i="41" s="1"/>
  <c r="P46" i="41"/>
  <c r="AH45" i="41"/>
  <c r="AM45" i="41" s="1"/>
  <c r="AF45" i="41"/>
  <c r="Y45" i="41"/>
  <c r="W45" i="41"/>
  <c r="U45" i="41"/>
  <c r="T45" i="41"/>
  <c r="X45" i="41" s="1"/>
  <c r="Z45" i="41" s="1"/>
  <c r="S45" i="41"/>
  <c r="AA45" i="41" s="1"/>
  <c r="R45" i="41"/>
  <c r="I45" i="41"/>
  <c r="H45" i="41"/>
  <c r="AP44" i="41"/>
  <c r="AN44" i="41"/>
  <c r="AI43" i="41"/>
  <c r="AH43" i="41"/>
  <c r="AE43" i="41"/>
  <c r="AD43" i="41"/>
  <c r="AJ43" i="41" s="1"/>
  <c r="Y43" i="41"/>
  <c r="W43" i="41"/>
  <c r="U43" i="41"/>
  <c r="T43" i="41"/>
  <c r="X43" i="41" s="1"/>
  <c r="S43" i="41"/>
  <c r="R43" i="41"/>
  <c r="Q43" i="41"/>
  <c r="P43" i="41"/>
  <c r="AI42" i="41"/>
  <c r="AH42" i="41"/>
  <c r="AE42" i="41"/>
  <c r="AL42" i="41" s="1"/>
  <c r="AD42" i="41"/>
  <c r="AJ42" i="41" s="1"/>
  <c r="Y42" i="41"/>
  <c r="W42" i="41"/>
  <c r="U42" i="41"/>
  <c r="T42" i="41"/>
  <c r="X42" i="41" s="1"/>
  <c r="S42" i="41"/>
  <c r="R42" i="41"/>
  <c r="Q42" i="41"/>
  <c r="P42" i="41"/>
  <c r="AH41" i="41"/>
  <c r="AJ41" i="41" s="1"/>
  <c r="AF41" i="41"/>
  <c r="Y41" i="41"/>
  <c r="W41" i="41"/>
  <c r="U41" i="41"/>
  <c r="T41" i="41"/>
  <c r="X41" i="41" s="1"/>
  <c r="Z41" i="41" s="1"/>
  <c r="AA41" i="41" s="1"/>
  <c r="S41" i="41"/>
  <c r="R41" i="41"/>
  <c r="I41" i="41"/>
  <c r="H41" i="41"/>
  <c r="AP40" i="41"/>
  <c r="AN40" i="41"/>
  <c r="AP39" i="41"/>
  <c r="AN39" i="41"/>
  <c r="AI38" i="41"/>
  <c r="AH38" i="41"/>
  <c r="AE38" i="41"/>
  <c r="AL38" i="41" s="1"/>
  <c r="AD38" i="41"/>
  <c r="AJ38" i="41" s="1"/>
  <c r="Y38" i="41"/>
  <c r="W38" i="41"/>
  <c r="U38" i="41"/>
  <c r="T38" i="41"/>
  <c r="X38" i="41" s="1"/>
  <c r="Z38" i="41" s="1"/>
  <c r="AA38" i="41" s="1"/>
  <c r="S38" i="41"/>
  <c r="R38" i="41"/>
  <c r="Q38" i="41"/>
  <c r="P38" i="41"/>
  <c r="AA37" i="41"/>
  <c r="H37" i="41"/>
  <c r="I37" i="41" s="1"/>
  <c r="AH35" i="41"/>
  <c r="AI35" i="41" s="1"/>
  <c r="AE35" i="41"/>
  <c r="AD35" i="41"/>
  <c r="AJ35" i="41" s="1"/>
  <c r="V35" i="41"/>
  <c r="T35" i="41"/>
  <c r="S35" i="41"/>
  <c r="R35" i="41"/>
  <c r="Q35" i="41"/>
  <c r="P35" i="41"/>
  <c r="H34" i="41"/>
  <c r="I34" i="41" s="1"/>
  <c r="AH32" i="41"/>
  <c r="AI32" i="41" s="1"/>
  <c r="AF32" i="41"/>
  <c r="AE32" i="41"/>
  <c r="AG32" i="41" s="1"/>
  <c r="AK32" i="41" s="1"/>
  <c r="Y32" i="41"/>
  <c r="W32" i="41"/>
  <c r="U32" i="41"/>
  <c r="T32" i="41"/>
  <c r="X32" i="41" s="1"/>
  <c r="S32" i="41"/>
  <c r="R32" i="41"/>
  <c r="Q32" i="41"/>
  <c r="P32" i="41"/>
  <c r="AI31" i="41"/>
  <c r="AH31" i="41"/>
  <c r="AE31" i="41"/>
  <c r="AL31" i="41" s="1"/>
  <c r="AD31" i="41"/>
  <c r="T31" i="41"/>
  <c r="X31" i="41" s="1"/>
  <c r="S31" i="41"/>
  <c r="R31" i="41"/>
  <c r="Q31" i="41"/>
  <c r="P31" i="41"/>
  <c r="H30" i="41"/>
  <c r="I30" i="41" s="1"/>
  <c r="AH28" i="41"/>
  <c r="AL28" i="41" s="1"/>
  <c r="AE28" i="41"/>
  <c r="AD28" i="41"/>
  <c r="AJ28" i="41" s="1"/>
  <c r="Y28" i="41"/>
  <c r="X28" i="41"/>
  <c r="Z28" i="41" s="1"/>
  <c r="W28" i="41"/>
  <c r="V28" i="41"/>
  <c r="U28" i="41"/>
  <c r="S28" i="41"/>
  <c r="R28" i="41"/>
  <c r="AA28" i="41" s="1"/>
  <c r="I27" i="41"/>
  <c r="H27" i="41"/>
  <c r="AI25" i="41"/>
  <c r="AH25" i="41"/>
  <c r="AE25" i="41"/>
  <c r="AL25" i="41" s="1"/>
  <c r="AD25" i="41"/>
  <c r="AJ25" i="41" s="1"/>
  <c r="Y25" i="41"/>
  <c r="W25" i="41"/>
  <c r="U25" i="41"/>
  <c r="T25" i="41"/>
  <c r="X25" i="41" s="1"/>
  <c r="Z25" i="41" s="1"/>
  <c r="R25" i="41"/>
  <c r="Q25" i="41"/>
  <c r="P25" i="41"/>
  <c r="O25" i="41"/>
  <c r="O58" i="41" s="1"/>
  <c r="AH24" i="41"/>
  <c r="AL24" i="41" s="1"/>
  <c r="AE24" i="41"/>
  <c r="AD24" i="41"/>
  <c r="AJ24" i="41" s="1"/>
  <c r="T24" i="41"/>
  <c r="V24" i="41" s="1"/>
  <c r="S24" i="41"/>
  <c r="R24" i="41"/>
  <c r="Q24" i="41"/>
  <c r="P24" i="41"/>
  <c r="AH23" i="41"/>
  <c r="AI23" i="41" s="1"/>
  <c r="AE23" i="41"/>
  <c r="AD23" i="41"/>
  <c r="AJ23" i="41" s="1"/>
  <c r="U23" i="41"/>
  <c r="T23" i="41"/>
  <c r="X23" i="41" s="1"/>
  <c r="S23" i="41"/>
  <c r="R23" i="41"/>
  <c r="H22" i="41"/>
  <c r="I22" i="41" s="1"/>
  <c r="AH20" i="41"/>
  <c r="AI20" i="41" s="1"/>
  <c r="AE20" i="41"/>
  <c r="AD20" i="41"/>
  <c r="AJ20" i="41" s="1"/>
  <c r="T20" i="41"/>
  <c r="Y20" i="41" s="1"/>
  <c r="S20" i="41"/>
  <c r="R20" i="41"/>
  <c r="Q20" i="41"/>
  <c r="P20" i="41"/>
  <c r="H19" i="41"/>
  <c r="AJ17" i="41"/>
  <c r="AH17" i="41"/>
  <c r="AL17" i="41" s="1"/>
  <c r="AF17" i="41"/>
  <c r="Y17" i="41"/>
  <c r="W17" i="41"/>
  <c r="U17" i="41"/>
  <c r="T17" i="41"/>
  <c r="X17" i="41" s="1"/>
  <c r="Z17" i="41" s="1"/>
  <c r="S17" i="41"/>
  <c r="R17" i="41"/>
  <c r="I16" i="41"/>
  <c r="H16" i="41"/>
  <c r="AI14" i="41"/>
  <c r="AH14" i="41"/>
  <c r="AE14" i="41"/>
  <c r="AE58" i="41" s="1"/>
  <c r="AD14" i="41"/>
  <c r="Y14" i="41"/>
  <c r="W14" i="41"/>
  <c r="U14" i="41"/>
  <c r="T14" i="41"/>
  <c r="X14" i="41" s="1"/>
  <c r="S14" i="41"/>
  <c r="R14" i="41"/>
  <c r="Q14" i="41"/>
  <c r="Q58" i="41" s="1"/>
  <c r="P14" i="41"/>
  <c r="F68" i="33"/>
  <c r="F67" i="33"/>
  <c r="F90" i="33"/>
  <c r="F89" i="33"/>
  <c r="F88" i="33"/>
  <c r="E90" i="33"/>
  <c r="F13" i="33"/>
  <c r="E80" i="41" l="1"/>
  <c r="F13" i="34" s="1"/>
  <c r="AG24" i="41"/>
  <c r="AK24" i="41" s="1"/>
  <c r="AA17" i="41"/>
  <c r="AP41" i="41"/>
  <c r="AN41" i="41"/>
  <c r="Z14" i="41"/>
  <c r="I58" i="41"/>
  <c r="J66" i="41" s="1"/>
  <c r="AM17" i="41"/>
  <c r="V20" i="41"/>
  <c r="X20" i="41"/>
  <c r="Z20" i="41" s="1"/>
  <c r="AL20" i="41"/>
  <c r="V23" i="41"/>
  <c r="AL23" i="41"/>
  <c r="X24" i="41"/>
  <c r="AF24" i="41"/>
  <c r="AM24" i="41" s="1"/>
  <c r="P58" i="41"/>
  <c r="R58" i="41"/>
  <c r="V14" i="41"/>
  <c r="AD58" i="41"/>
  <c r="AF14" i="41"/>
  <c r="AJ14" i="41"/>
  <c r="AL14" i="41"/>
  <c r="H58" i="41"/>
  <c r="J61" i="41" s="1"/>
  <c r="V17" i="41"/>
  <c r="AI17" i="41"/>
  <c r="U20" i="41"/>
  <c r="AA20" i="41" s="1"/>
  <c r="W20" i="41"/>
  <c r="W58" i="41" s="1"/>
  <c r="W23" i="41"/>
  <c r="Y23" i="41"/>
  <c r="Z23" i="41" s="1"/>
  <c r="AA23" i="41" s="1"/>
  <c r="U24" i="41"/>
  <c r="W24" i="41"/>
  <c r="Y24" i="41"/>
  <c r="Y58" i="41" s="1"/>
  <c r="AI24" i="41"/>
  <c r="V25" i="41"/>
  <c r="AF25" i="41"/>
  <c r="AM25" i="41" s="1"/>
  <c r="AI28" i="41"/>
  <c r="AI58" i="41" s="1"/>
  <c r="U31" i="41"/>
  <c r="W31" i="41"/>
  <c r="Y31" i="41"/>
  <c r="Z31" i="41" s="1"/>
  <c r="AA31" i="41" s="1"/>
  <c r="Z32" i="41"/>
  <c r="AA32" i="41" s="1"/>
  <c r="AM32" i="41"/>
  <c r="AJ32" i="41"/>
  <c r="Y35" i="41"/>
  <c r="W35" i="41"/>
  <c r="U35" i="41"/>
  <c r="X35" i="41"/>
  <c r="AF35" i="41"/>
  <c r="AM35" i="41" s="1"/>
  <c r="Z42" i="41"/>
  <c r="AA42" i="41" s="1"/>
  <c r="Z43" i="41"/>
  <c r="U58" i="41"/>
  <c r="AA14" i="41"/>
  <c r="AF20" i="41"/>
  <c r="AM20" i="41" s="1"/>
  <c r="AF23" i="41"/>
  <c r="AM23" i="41" s="1"/>
  <c r="S25" i="41"/>
  <c r="S58" i="41" s="1"/>
  <c r="AF28" i="41"/>
  <c r="AM28" i="41" s="1"/>
  <c r="V31" i="41"/>
  <c r="AJ31" i="41"/>
  <c r="AF31" i="41"/>
  <c r="AL32" i="41"/>
  <c r="AG35" i="41"/>
  <c r="AK35" i="41" s="1"/>
  <c r="AL35" i="41"/>
  <c r="AL41" i="41"/>
  <c r="AI41" i="41"/>
  <c r="AM41" i="41"/>
  <c r="AA43" i="41"/>
  <c r="AP45" i="41"/>
  <c r="AN45" i="41"/>
  <c r="AA49" i="41"/>
  <c r="V32" i="41"/>
  <c r="V38" i="41"/>
  <c r="AF38" i="41"/>
  <c r="AM38" i="41" s="1"/>
  <c r="V41" i="41"/>
  <c r="V42" i="41"/>
  <c r="AF42" i="41"/>
  <c r="V43" i="41"/>
  <c r="AF43" i="41"/>
  <c r="AM43" i="41" s="1"/>
  <c r="AL43" i="41"/>
  <c r="V45" i="41"/>
  <c r="AI45" i="41"/>
  <c r="AL45" i="41"/>
  <c r="V46" i="41"/>
  <c r="AF46" i="41"/>
  <c r="AM46" i="41" s="1"/>
  <c r="AL46" i="41"/>
  <c r="Z49" i="41"/>
  <c r="AL49" i="41"/>
  <c r="AI49" i="41"/>
  <c r="AM49" i="41"/>
  <c r="AA50" i="41"/>
  <c r="J63" i="41"/>
  <c r="AJ45" i="41"/>
  <c r="AG51" i="41"/>
  <c r="AK51" i="41" s="1"/>
  <c r="AP51" i="41" s="1"/>
  <c r="AQ51" i="41" s="1"/>
  <c r="V53" i="41"/>
  <c r="X53" i="41"/>
  <c r="Z53" i="41" s="1"/>
  <c r="AA53" i="41" s="1"/>
  <c r="AF53" i="41"/>
  <c r="AM53" i="41" s="1"/>
  <c r="AL53" i="41"/>
  <c r="AF55" i="41"/>
  <c r="AM55" i="41" s="1"/>
  <c r="AL55" i="41"/>
  <c r="AG56" i="41"/>
  <c r="AK56" i="41" s="1"/>
  <c r="AP56" i="41" s="1"/>
  <c r="AQ56" i="41" s="1"/>
  <c r="AF57" i="41"/>
  <c r="AM57" i="41" s="1"/>
  <c r="AL57" i="41"/>
  <c r="V49" i="41"/>
  <c r="V50" i="41"/>
  <c r="AF50" i="41"/>
  <c r="AM50" i="41" s="1"/>
  <c r="V51" i="41"/>
  <c r="AF51" i="41"/>
  <c r="AM51" i="41" s="1"/>
  <c r="W53" i="41"/>
  <c r="AF54" i="41"/>
  <c r="AM54" i="41" s="1"/>
  <c r="AF56" i="41"/>
  <c r="AM56" i="41" s="1"/>
  <c r="AN56" i="41"/>
  <c r="AO56" i="41" s="1"/>
  <c r="AQ20" i="40"/>
  <c r="AP32" i="41" l="1"/>
  <c r="AQ32" i="41" s="1"/>
  <c r="AN32" i="41"/>
  <c r="AO32" i="41" s="1"/>
  <c r="AN20" i="41"/>
  <c r="AO20" i="41" s="1"/>
  <c r="AN31" i="41"/>
  <c r="AO31" i="41" s="1"/>
  <c r="AN51" i="41"/>
  <c r="AO51" i="41" s="1"/>
  <c r="AQ48" i="41"/>
  <c r="AO48" i="41"/>
  <c r="AQ44" i="41"/>
  <c r="AO44" i="41"/>
  <c r="AQ36" i="41"/>
  <c r="AQ33" i="41"/>
  <c r="AO29" i="41"/>
  <c r="AQ15" i="41"/>
  <c r="AQ40" i="41"/>
  <c r="AO40" i="41"/>
  <c r="AQ39" i="41"/>
  <c r="AO39" i="41"/>
  <c r="AO36" i="41"/>
  <c r="AO33" i="41"/>
  <c r="AQ29" i="41"/>
  <c r="AO26" i="41"/>
  <c r="AQ21" i="41"/>
  <c r="AQ19" i="41"/>
  <c r="AO18" i="41"/>
  <c r="AO15" i="41"/>
  <c r="AQ26" i="41"/>
  <c r="AO21" i="41"/>
  <c r="AO19" i="41"/>
  <c r="AQ18" i="41"/>
  <c r="AO52" i="41"/>
  <c r="AQ47" i="41"/>
  <c r="AM42" i="41"/>
  <c r="AG42" i="41"/>
  <c r="AK42" i="41" s="1"/>
  <c r="AP42" i="41" s="1"/>
  <c r="AQ42" i="41" s="1"/>
  <c r="AP49" i="41"/>
  <c r="AQ49" i="41" s="1"/>
  <c r="AN49" i="41"/>
  <c r="AO49" i="41" s="1"/>
  <c r="AO45" i="41"/>
  <c r="AM31" i="41"/>
  <c r="AG31" i="41"/>
  <c r="AK31" i="41" s="1"/>
  <c r="AP31" i="41" s="1"/>
  <c r="AQ31" i="41" s="1"/>
  <c r="AG54" i="41"/>
  <c r="AG50" i="41"/>
  <c r="AK50" i="41" s="1"/>
  <c r="AP50" i="41" s="1"/>
  <c r="AQ50" i="41" s="1"/>
  <c r="AG55" i="41"/>
  <c r="AQ52" i="41"/>
  <c r="AG57" i="41"/>
  <c r="AG53" i="41"/>
  <c r="AK53" i="41" s="1"/>
  <c r="AP53" i="41" s="1"/>
  <c r="AQ53" i="41" s="1"/>
  <c r="AN50" i="41"/>
  <c r="AO50" i="41" s="1"/>
  <c r="AG46" i="41"/>
  <c r="AQ45" i="41"/>
  <c r="AG38" i="41"/>
  <c r="Z35" i="41"/>
  <c r="AA35" i="41" s="1"/>
  <c r="AJ58" i="41"/>
  <c r="AG25" i="41"/>
  <c r="AK25" i="41" s="1"/>
  <c r="AG28" i="41"/>
  <c r="X58" i="41"/>
  <c r="AQ41" i="41"/>
  <c r="AP17" i="41"/>
  <c r="AQ17" i="41" s="1"/>
  <c r="AN17" i="41"/>
  <c r="AO17" i="41" s="1"/>
  <c r="AA25" i="41"/>
  <c r="AO47" i="41"/>
  <c r="AG43" i="41"/>
  <c r="AK43" i="41" s="1"/>
  <c r="AP43" i="41" s="1"/>
  <c r="AQ43" i="41" s="1"/>
  <c r="AL58" i="41"/>
  <c r="AF58" i="41"/>
  <c r="AM14" i="41"/>
  <c r="V58" i="41"/>
  <c r="Z24" i="41"/>
  <c r="AA24" i="41" s="1"/>
  <c r="AG14" i="41"/>
  <c r="AG20" i="41"/>
  <c r="AK20" i="41" s="1"/>
  <c r="AP20" i="41" s="1"/>
  <c r="AQ20" i="41" s="1"/>
  <c r="Z58" i="41"/>
  <c r="Q64" i="41" s="1"/>
  <c r="Q65" i="41" s="1"/>
  <c r="AO41" i="41"/>
  <c r="AG23" i="41"/>
  <c r="AK23" i="41" s="1"/>
  <c r="AP23" i="41" s="1"/>
  <c r="AQ23" i="41" s="1"/>
  <c r="AP24" i="41" l="1"/>
  <c r="AQ24" i="41" s="1"/>
  <c r="AN24" i="41"/>
  <c r="AO24" i="41" s="1"/>
  <c r="AA58" i="41"/>
  <c r="AP35" i="41"/>
  <c r="AQ35" i="41" s="1"/>
  <c r="AN35" i="41"/>
  <c r="AO35" i="41" s="1"/>
  <c r="AG58" i="41"/>
  <c r="AG61" i="41" s="1"/>
  <c r="AG62" i="41" s="1"/>
  <c r="AK14" i="41"/>
  <c r="AP25" i="41"/>
  <c r="AQ25" i="41" s="1"/>
  <c r="AN25" i="41"/>
  <c r="AO25" i="41" s="1"/>
  <c r="AN43" i="41"/>
  <c r="AO43" i="41" s="1"/>
  <c r="AN14" i="41"/>
  <c r="AN23" i="41"/>
  <c r="AO23" i="41" s="1"/>
  <c r="Q61" i="41"/>
  <c r="Q62" i="41" s="1"/>
  <c r="AM58" i="41"/>
  <c r="AK28" i="41"/>
  <c r="AP28" i="41" s="1"/>
  <c r="AQ28" i="41" s="1"/>
  <c r="AN28" i="41"/>
  <c r="AO28" i="41" s="1"/>
  <c r="AK38" i="41"/>
  <c r="AP38" i="41" s="1"/>
  <c r="AQ38" i="41" s="1"/>
  <c r="AN38" i="41"/>
  <c r="AO38" i="41" s="1"/>
  <c r="AK46" i="41"/>
  <c r="AP46" i="41" s="1"/>
  <c r="AQ46" i="41" s="1"/>
  <c r="AN46" i="41"/>
  <c r="AO46" i="41" s="1"/>
  <c r="AK57" i="41"/>
  <c r="AP57" i="41" s="1"/>
  <c r="AQ57" i="41" s="1"/>
  <c r="AN57" i="41"/>
  <c r="AO57" i="41" s="1"/>
  <c r="AK55" i="41"/>
  <c r="AP55" i="41" s="1"/>
  <c r="AQ55" i="41" s="1"/>
  <c r="AN55" i="41"/>
  <c r="AO55" i="41" s="1"/>
  <c r="AK54" i="41"/>
  <c r="AP54" i="41" s="1"/>
  <c r="AQ54" i="41" s="1"/>
  <c r="AN54" i="41"/>
  <c r="AO54" i="41" s="1"/>
  <c r="AN53" i="41"/>
  <c r="AO53" i="41" s="1"/>
  <c r="AN42" i="41"/>
  <c r="AO42" i="41" s="1"/>
  <c r="AN58" i="41" l="1"/>
  <c r="AO14" i="41"/>
  <c r="AO58" i="41" s="1"/>
  <c r="AK61" i="41"/>
  <c r="AK62" i="41" s="1"/>
  <c r="AK58" i="41"/>
  <c r="AP14" i="41"/>
  <c r="AP58" i="41" l="1"/>
  <c r="AQ14" i="41"/>
  <c r="AQ58" i="41" s="1"/>
  <c r="E84" i="40" l="1"/>
  <c r="D62" i="27" l="1"/>
  <c r="E83" i="40"/>
  <c r="D61" i="27"/>
  <c r="D60" i="27"/>
  <c r="E81" i="40"/>
  <c r="D59" i="27"/>
  <c r="D58" i="27"/>
  <c r="F84" i="40"/>
  <c r="F83" i="40"/>
  <c r="F82" i="40"/>
  <c r="F81" i="40"/>
  <c r="F80" i="40"/>
  <c r="AB58" i="40"/>
  <c r="N58" i="40"/>
  <c r="M58" i="40"/>
  <c r="K58" i="40"/>
  <c r="J58" i="40"/>
  <c r="J62" i="40" s="1"/>
  <c r="AH57" i="40"/>
  <c r="AI57" i="40" s="1"/>
  <c r="AE57" i="40"/>
  <c r="AD57" i="40"/>
  <c r="AJ57" i="40" s="1"/>
  <c r="AA57" i="40"/>
  <c r="AH56" i="40"/>
  <c r="AI56" i="40" s="1"/>
  <c r="AE56" i="40"/>
  <c r="AD56" i="40"/>
  <c r="AJ56" i="40" s="1"/>
  <c r="AA56" i="40"/>
  <c r="AH55" i="40"/>
  <c r="AI55" i="40" s="1"/>
  <c r="AE55" i="40"/>
  <c r="AD55" i="40"/>
  <c r="AJ55" i="40" s="1"/>
  <c r="AA55" i="40"/>
  <c r="AI54" i="40"/>
  <c r="AH54" i="40"/>
  <c r="AE54" i="40"/>
  <c r="AL54" i="40" s="1"/>
  <c r="AD54" i="40"/>
  <c r="AJ54" i="40" s="1"/>
  <c r="AA54" i="40"/>
  <c r="AH53" i="40"/>
  <c r="AI53" i="40" s="1"/>
  <c r="AE53" i="40"/>
  <c r="AD53" i="40"/>
  <c r="AJ53" i="40" s="1"/>
  <c r="U53" i="40"/>
  <c r="T53" i="40"/>
  <c r="Y53" i="40" s="1"/>
  <c r="S53" i="40"/>
  <c r="R53" i="40"/>
  <c r="H53" i="40"/>
  <c r="I53" i="40" s="1"/>
  <c r="AP52" i="40"/>
  <c r="AN52" i="40"/>
  <c r="AH52" i="40"/>
  <c r="AI51" i="40"/>
  <c r="AH51" i="40"/>
  <c r="AE51" i="40"/>
  <c r="AL51" i="40" s="1"/>
  <c r="AD51" i="40"/>
  <c r="AJ51" i="40" s="1"/>
  <c r="Y51" i="40"/>
  <c r="U51" i="40"/>
  <c r="T51" i="40"/>
  <c r="X51" i="40" s="1"/>
  <c r="S51" i="40"/>
  <c r="R51" i="40"/>
  <c r="Q51" i="40"/>
  <c r="P51" i="40"/>
  <c r="AI50" i="40"/>
  <c r="AH50" i="40"/>
  <c r="AE50" i="40"/>
  <c r="AL50" i="40" s="1"/>
  <c r="AD50" i="40"/>
  <c r="AJ50" i="40" s="1"/>
  <c r="Y50" i="40"/>
  <c r="U50" i="40"/>
  <c r="T50" i="40"/>
  <c r="X50" i="40" s="1"/>
  <c r="S50" i="40"/>
  <c r="R50" i="40"/>
  <c r="AH49" i="40"/>
  <c r="AJ49" i="40" s="1"/>
  <c r="AF49" i="40"/>
  <c r="Y49" i="40"/>
  <c r="U49" i="40"/>
  <c r="T49" i="40"/>
  <c r="X49" i="40" s="1"/>
  <c r="S49" i="40"/>
  <c r="R49" i="40"/>
  <c r="I49" i="40"/>
  <c r="H49" i="40"/>
  <c r="AP48" i="40"/>
  <c r="AN48" i="40"/>
  <c r="AH48" i="40"/>
  <c r="AP47" i="40"/>
  <c r="AN47" i="40"/>
  <c r="AH47" i="40"/>
  <c r="AI46" i="40"/>
  <c r="AH46" i="40"/>
  <c r="AE46" i="40"/>
  <c r="AL46" i="40" s="1"/>
  <c r="AD46" i="40"/>
  <c r="AJ46" i="40" s="1"/>
  <c r="T46" i="40"/>
  <c r="X46" i="40" s="1"/>
  <c r="S46" i="40"/>
  <c r="R46" i="40"/>
  <c r="Q46" i="40"/>
  <c r="P46" i="40"/>
  <c r="AI45" i="40"/>
  <c r="AH45" i="40"/>
  <c r="AJ45" i="40" s="1"/>
  <c r="AF45" i="40"/>
  <c r="AM45" i="40" s="1"/>
  <c r="U45" i="40"/>
  <c r="T45" i="40"/>
  <c r="X45" i="40" s="1"/>
  <c r="S45" i="40"/>
  <c r="R45" i="40"/>
  <c r="H45" i="40"/>
  <c r="I45" i="40" s="1"/>
  <c r="AP44" i="40"/>
  <c r="AN44" i="40"/>
  <c r="AH43" i="40"/>
  <c r="AL43" i="40" s="1"/>
  <c r="AE43" i="40"/>
  <c r="AD43" i="40"/>
  <c r="AJ43" i="40" s="1"/>
  <c r="T43" i="40"/>
  <c r="X43" i="40" s="1"/>
  <c r="S43" i="40"/>
  <c r="R43" i="40"/>
  <c r="Q43" i="40"/>
  <c r="P43" i="40"/>
  <c r="AH42" i="40"/>
  <c r="AI42" i="40" s="1"/>
  <c r="AE42" i="40"/>
  <c r="AD42" i="40"/>
  <c r="AJ42" i="40" s="1"/>
  <c r="T42" i="40"/>
  <c r="V42" i="40" s="1"/>
  <c r="S42" i="40"/>
  <c r="R42" i="40"/>
  <c r="Q42" i="40"/>
  <c r="P42" i="40"/>
  <c r="AI41" i="40"/>
  <c r="AH41" i="40"/>
  <c r="AJ41" i="40" s="1"/>
  <c r="AF41" i="40"/>
  <c r="AM41" i="40" s="1"/>
  <c r="U41" i="40"/>
  <c r="T41" i="40"/>
  <c r="X41" i="40" s="1"/>
  <c r="S41" i="40"/>
  <c r="R41" i="40"/>
  <c r="H41" i="40"/>
  <c r="I41" i="40" s="1"/>
  <c r="AP40" i="40"/>
  <c r="AN40" i="40"/>
  <c r="AP39" i="40"/>
  <c r="AN39" i="40"/>
  <c r="AH38" i="40"/>
  <c r="AI38" i="40" s="1"/>
  <c r="AE38" i="40"/>
  <c r="AD38" i="40"/>
  <c r="AJ38" i="40" s="1"/>
  <c r="T38" i="40"/>
  <c r="V38" i="40" s="1"/>
  <c r="S38" i="40"/>
  <c r="R38" i="40"/>
  <c r="Q38" i="40"/>
  <c r="P38" i="40"/>
  <c r="AA37" i="40"/>
  <c r="I37" i="40"/>
  <c r="H37" i="40"/>
  <c r="AI35" i="40"/>
  <c r="AH35" i="40"/>
  <c r="AE35" i="40"/>
  <c r="AL35" i="40" s="1"/>
  <c r="AD35" i="40"/>
  <c r="AJ35" i="40" s="1"/>
  <c r="Y35" i="40"/>
  <c r="U35" i="40"/>
  <c r="T35" i="40"/>
  <c r="X35" i="40" s="1"/>
  <c r="S35" i="40"/>
  <c r="R35" i="40"/>
  <c r="Q35" i="40"/>
  <c r="P35" i="40"/>
  <c r="I34" i="40"/>
  <c r="H34" i="40"/>
  <c r="AH32" i="40"/>
  <c r="AJ32" i="40" s="1"/>
  <c r="AF32" i="40"/>
  <c r="AE32" i="40"/>
  <c r="AL32" i="40" s="1"/>
  <c r="U32" i="40"/>
  <c r="T32" i="40"/>
  <c r="Y32" i="40" s="1"/>
  <c r="S32" i="40"/>
  <c r="R32" i="40"/>
  <c r="Q32" i="40"/>
  <c r="P32" i="40"/>
  <c r="AI31" i="40"/>
  <c r="AH31" i="40"/>
  <c r="AE31" i="40"/>
  <c r="AD31" i="40"/>
  <c r="AJ31" i="40" s="1"/>
  <c r="Y31" i="40"/>
  <c r="U31" i="40"/>
  <c r="T31" i="40"/>
  <c r="X31" i="40" s="1"/>
  <c r="S31" i="40"/>
  <c r="R31" i="40"/>
  <c r="Q31" i="40"/>
  <c r="P31" i="40"/>
  <c r="I30" i="40"/>
  <c r="H30" i="40"/>
  <c r="AI28" i="40"/>
  <c r="AH28" i="40"/>
  <c r="AE28" i="40"/>
  <c r="AD28" i="40"/>
  <c r="AJ28" i="40" s="1"/>
  <c r="Y28" i="40"/>
  <c r="X28" i="40"/>
  <c r="W28" i="40"/>
  <c r="V28" i="40"/>
  <c r="U28" i="40"/>
  <c r="S28" i="40"/>
  <c r="R28" i="40"/>
  <c r="H27" i="40"/>
  <c r="I27" i="40" s="1"/>
  <c r="AH25" i="40"/>
  <c r="AL25" i="40" s="1"/>
  <c r="AE25" i="40"/>
  <c r="AD25" i="40"/>
  <c r="AJ25" i="40" s="1"/>
  <c r="T25" i="40"/>
  <c r="X25" i="40" s="1"/>
  <c r="R25" i="40"/>
  <c r="Q25" i="40"/>
  <c r="P25" i="40"/>
  <c r="O25" i="40"/>
  <c r="O58" i="40" s="1"/>
  <c r="AI24" i="40"/>
  <c r="AH24" i="40"/>
  <c r="AE24" i="40"/>
  <c r="AD24" i="40"/>
  <c r="AJ24" i="40" s="1"/>
  <c r="Y24" i="40"/>
  <c r="U24" i="40"/>
  <c r="T24" i="40"/>
  <c r="X24" i="40" s="1"/>
  <c r="S24" i="40"/>
  <c r="R24" i="40"/>
  <c r="Q24" i="40"/>
  <c r="P24" i="40"/>
  <c r="AI23" i="40"/>
  <c r="AH23" i="40"/>
  <c r="AE23" i="40"/>
  <c r="AD23" i="40"/>
  <c r="AJ23" i="40" s="1"/>
  <c r="Y23" i="40"/>
  <c r="U23" i="40"/>
  <c r="T23" i="40"/>
  <c r="X23" i="40" s="1"/>
  <c r="S23" i="40"/>
  <c r="R23" i="40"/>
  <c r="I22" i="40"/>
  <c r="H22" i="40"/>
  <c r="AI20" i="40"/>
  <c r="AH20" i="40"/>
  <c r="AE20" i="40"/>
  <c r="AD20" i="40"/>
  <c r="AJ20" i="40" s="1"/>
  <c r="Y20" i="40"/>
  <c r="U20" i="40"/>
  <c r="T20" i="40"/>
  <c r="X20" i="40" s="1"/>
  <c r="S20" i="40"/>
  <c r="R20" i="40"/>
  <c r="Q20" i="40"/>
  <c r="P20" i="40"/>
  <c r="H19" i="40"/>
  <c r="AI17" i="40"/>
  <c r="AH17" i="40"/>
  <c r="AJ17" i="40" s="1"/>
  <c r="AF17" i="40"/>
  <c r="AM17" i="40" s="1"/>
  <c r="U17" i="40"/>
  <c r="T17" i="40"/>
  <c r="Y17" i="40" s="1"/>
  <c r="S17" i="40"/>
  <c r="R17" i="40"/>
  <c r="H16" i="40"/>
  <c r="AH14" i="40"/>
  <c r="AI14" i="40" s="1"/>
  <c r="AE14" i="40"/>
  <c r="AD14" i="40"/>
  <c r="AD58" i="40" s="1"/>
  <c r="T14" i="40"/>
  <c r="X14" i="40" s="1"/>
  <c r="S14" i="40"/>
  <c r="R14" i="40"/>
  <c r="Q14" i="40"/>
  <c r="P14" i="40"/>
  <c r="P58" i="40" l="1"/>
  <c r="R58" i="40"/>
  <c r="H58" i="40"/>
  <c r="J61" i="40" s="1"/>
  <c r="AL17" i="40"/>
  <c r="Z20" i="40"/>
  <c r="AA20" i="40" s="1"/>
  <c r="W20" i="40"/>
  <c r="Z23" i="40"/>
  <c r="W23" i="40"/>
  <c r="Z24" i="40"/>
  <c r="AA24" i="40" s="1"/>
  <c r="W24" i="40"/>
  <c r="Z28" i="40"/>
  <c r="AA28" i="40" s="1"/>
  <c r="Z31" i="40"/>
  <c r="W31" i="40"/>
  <c r="W32" i="40"/>
  <c r="AI32" i="40"/>
  <c r="W35" i="40"/>
  <c r="AL41" i="40"/>
  <c r="AL45" i="40"/>
  <c r="Z49" i="40"/>
  <c r="AA49" i="40" s="1"/>
  <c r="AP49" i="40" s="1"/>
  <c r="W49" i="40"/>
  <c r="W50" i="40"/>
  <c r="Z51" i="40"/>
  <c r="W51" i="40"/>
  <c r="AL56" i="40"/>
  <c r="AA23" i="40"/>
  <c r="AA31" i="40"/>
  <c r="AM32" i="40"/>
  <c r="AA51" i="40"/>
  <c r="AG28" i="40"/>
  <c r="AK28" i="40" s="1"/>
  <c r="Z25" i="40"/>
  <c r="AF14" i="40"/>
  <c r="AJ14" i="40"/>
  <c r="AL14" i="40"/>
  <c r="V17" i="40"/>
  <c r="X17" i="40"/>
  <c r="Z17" i="40" s="1"/>
  <c r="AA17" i="40" s="1"/>
  <c r="Q58" i="40"/>
  <c r="U14" i="40"/>
  <c r="W14" i="40"/>
  <c r="Y14" i="40"/>
  <c r="AE58" i="40"/>
  <c r="AG14" i="40"/>
  <c r="I16" i="40"/>
  <c r="I58" i="40" s="1"/>
  <c r="J66" i="40" s="1"/>
  <c r="W17" i="40"/>
  <c r="V20" i="40"/>
  <c r="AF20" i="40"/>
  <c r="AM20" i="40" s="1"/>
  <c r="AL20" i="40"/>
  <c r="V23" i="40"/>
  <c r="AF23" i="40"/>
  <c r="AM23" i="40" s="1"/>
  <c r="AL23" i="40"/>
  <c r="V24" i="40"/>
  <c r="AF24" i="40"/>
  <c r="AM24" i="40" s="1"/>
  <c r="AL24" i="40"/>
  <c r="S25" i="40"/>
  <c r="AA25" i="40" s="1"/>
  <c r="U25" i="40"/>
  <c r="W25" i="40"/>
  <c r="Y25" i="40"/>
  <c r="AI25" i="40"/>
  <c r="AI58" i="40" s="1"/>
  <c r="AF28" i="40"/>
  <c r="AM28" i="40" s="1"/>
  <c r="AL28" i="40"/>
  <c r="V31" i="40"/>
  <c r="AF31" i="40"/>
  <c r="AM31" i="40" s="1"/>
  <c r="AL31" i="40"/>
  <c r="V32" i="40"/>
  <c r="X32" i="40"/>
  <c r="Z32" i="40" s="1"/>
  <c r="AA32" i="40" s="1"/>
  <c r="AG32" i="40"/>
  <c r="AK32" i="40" s="1"/>
  <c r="Z35" i="40"/>
  <c r="AA35" i="40" s="1"/>
  <c r="Y38" i="40"/>
  <c r="W38" i="40"/>
  <c r="U38" i="40"/>
  <c r="X38" i="40"/>
  <c r="AF38" i="40"/>
  <c r="AM38" i="40" s="1"/>
  <c r="Y42" i="40"/>
  <c r="W42" i="40"/>
  <c r="U42" i="40"/>
  <c r="X42" i="40"/>
  <c r="AF42" i="40"/>
  <c r="AM42" i="40" s="1"/>
  <c r="AN49" i="40"/>
  <c r="V14" i="40"/>
  <c r="V25" i="40"/>
  <c r="AF25" i="40"/>
  <c r="AM25" i="40" s="1"/>
  <c r="AL38" i="40"/>
  <c r="Y41" i="40"/>
  <c r="Z41" i="40" s="1"/>
  <c r="AA41" i="40" s="1"/>
  <c r="W41" i="40"/>
  <c r="V41" i="40"/>
  <c r="AL42" i="40"/>
  <c r="V35" i="40"/>
  <c r="AF35" i="40"/>
  <c r="U43" i="40"/>
  <c r="W43" i="40"/>
  <c r="Y43" i="40"/>
  <c r="Z43" i="40" s="1"/>
  <c r="AI43" i="40"/>
  <c r="W45" i="40"/>
  <c r="Y45" i="40"/>
  <c r="Z45" i="40" s="1"/>
  <c r="AA45" i="40" s="1"/>
  <c r="U46" i="40"/>
  <c r="W46" i="40"/>
  <c r="Y46" i="40"/>
  <c r="Z46" i="40" s="1"/>
  <c r="AA46" i="40" s="1"/>
  <c r="Z50" i="40"/>
  <c r="AA50" i="40" s="1"/>
  <c r="V43" i="40"/>
  <c r="AF43" i="40"/>
  <c r="AM43" i="40" s="1"/>
  <c r="V45" i="40"/>
  <c r="V46" i="40"/>
  <c r="AL49" i="40"/>
  <c r="AI49" i="40"/>
  <c r="AM49" i="40"/>
  <c r="AG53" i="40"/>
  <c r="AK53" i="40" s="1"/>
  <c r="J63" i="40"/>
  <c r="AO44" i="40" s="1"/>
  <c r="V53" i="40"/>
  <c r="X53" i="40"/>
  <c r="Z53" i="40" s="1"/>
  <c r="AA53" i="40" s="1"/>
  <c r="AF53" i="40"/>
  <c r="AM53" i="40" s="1"/>
  <c r="AL53" i="40"/>
  <c r="AF55" i="40"/>
  <c r="AM55" i="40" s="1"/>
  <c r="AL55" i="40"/>
  <c r="AF57" i="40"/>
  <c r="AM57" i="40" s="1"/>
  <c r="AL57" i="40"/>
  <c r="AF46" i="40"/>
  <c r="AM46" i="40" s="1"/>
  <c r="V49" i="40"/>
  <c r="V50" i="40"/>
  <c r="AF50" i="40"/>
  <c r="V51" i="40"/>
  <c r="AF51" i="40"/>
  <c r="AM51" i="40" s="1"/>
  <c r="W53" i="40"/>
  <c r="AF54" i="40"/>
  <c r="AM54" i="40" s="1"/>
  <c r="AF56" i="40"/>
  <c r="AM56" i="40" s="1"/>
  <c r="F79" i="40" l="1"/>
  <c r="AA43" i="40"/>
  <c r="AP43" i="40" s="1"/>
  <c r="AQ43" i="40" s="1"/>
  <c r="AO49" i="40"/>
  <c r="AG57" i="40"/>
  <c r="AK57" i="40" s="1"/>
  <c r="AP57" i="40" s="1"/>
  <c r="AQ57" i="40" s="1"/>
  <c r="AG46" i="40"/>
  <c r="AK46" i="40" s="1"/>
  <c r="AQ40" i="40"/>
  <c r="AO40" i="40"/>
  <c r="AG23" i="40"/>
  <c r="AK23" i="40" s="1"/>
  <c r="AP23" i="40" s="1"/>
  <c r="AQ23" i="40" s="1"/>
  <c r="AP28" i="40"/>
  <c r="AQ28" i="40" s="1"/>
  <c r="AP53" i="40"/>
  <c r="AQ53" i="40" s="1"/>
  <c r="AN53" i="40"/>
  <c r="AO53" i="40" s="1"/>
  <c r="AP50" i="40"/>
  <c r="AQ50" i="40" s="1"/>
  <c r="AP46" i="40"/>
  <c r="AQ46" i="40" s="1"/>
  <c r="AN46" i="40"/>
  <c r="AO46" i="40" s="1"/>
  <c r="AP41" i="40"/>
  <c r="AQ41" i="40" s="1"/>
  <c r="AN41" i="40"/>
  <c r="AO41" i="40" s="1"/>
  <c r="AP45" i="40"/>
  <c r="AQ45" i="40" s="1"/>
  <c r="AN45" i="40"/>
  <c r="AO45" i="40" s="1"/>
  <c r="AP32" i="40"/>
  <c r="AQ32" i="40" s="1"/>
  <c r="AN32" i="40"/>
  <c r="AO32" i="40" s="1"/>
  <c r="AM50" i="40"/>
  <c r="AG50" i="40"/>
  <c r="AK50" i="40" s="1"/>
  <c r="AG56" i="40"/>
  <c r="AN57" i="40"/>
  <c r="AO57" i="40" s="1"/>
  <c r="AM35" i="40"/>
  <c r="AG35" i="40"/>
  <c r="AK35" i="40" s="1"/>
  <c r="AP35" i="40" s="1"/>
  <c r="AQ35" i="40" s="1"/>
  <c r="V58" i="40"/>
  <c r="AG54" i="40"/>
  <c r="AQ48" i="40"/>
  <c r="AO48" i="40"/>
  <c r="AO36" i="40"/>
  <c r="AO33" i="40"/>
  <c r="AQ33" i="40"/>
  <c r="AQ29" i="40"/>
  <c r="AO26" i="40"/>
  <c r="AQ36" i="40"/>
  <c r="AO29" i="40"/>
  <c r="AQ26" i="40"/>
  <c r="AO21" i="40"/>
  <c r="AO19" i="40"/>
  <c r="AQ18" i="40"/>
  <c r="AQ15" i="40"/>
  <c r="AQ21" i="40"/>
  <c r="AQ19" i="40"/>
  <c r="AO18" i="40"/>
  <c r="AO15" i="40"/>
  <c r="AO52" i="40"/>
  <c r="AQ47" i="40"/>
  <c r="AG55" i="40"/>
  <c r="AQ52" i="40"/>
  <c r="AO47" i="40"/>
  <c r="AQ44" i="40"/>
  <c r="AG42" i="40"/>
  <c r="AK42" i="40" s="1"/>
  <c r="AQ39" i="40"/>
  <c r="AG38" i="40"/>
  <c r="AK38" i="40" s="1"/>
  <c r="AQ49" i="40"/>
  <c r="AG43" i="40"/>
  <c r="AK43" i="40" s="1"/>
  <c r="Z42" i="40"/>
  <c r="AA42" i="40" s="1"/>
  <c r="AO39" i="40"/>
  <c r="Z38" i="40"/>
  <c r="AA38" i="40" s="1"/>
  <c r="Y58" i="40"/>
  <c r="U58" i="40"/>
  <c r="AL58" i="40"/>
  <c r="AF58" i="40"/>
  <c r="AM14" i="40"/>
  <c r="AG20" i="40"/>
  <c r="AG25" i="40"/>
  <c r="AK25" i="40" s="1"/>
  <c r="AP25" i="40" s="1"/>
  <c r="AQ25" i="40" s="1"/>
  <c r="AG31" i="40"/>
  <c r="AN28" i="40"/>
  <c r="AO28" i="40" s="1"/>
  <c r="AG24" i="40"/>
  <c r="Z14" i="40"/>
  <c r="AG51" i="40"/>
  <c r="AK14" i="40"/>
  <c r="W58" i="40"/>
  <c r="S58" i="40"/>
  <c r="AJ58" i="40"/>
  <c r="AN17" i="40"/>
  <c r="AO17" i="40" s="1"/>
  <c r="AP17" i="40"/>
  <c r="AQ17" i="40" s="1"/>
  <c r="X58" i="40"/>
  <c r="D32" i="32"/>
  <c r="C49" i="32" s="1"/>
  <c r="D49" i="32" s="1"/>
  <c r="D31" i="32"/>
  <c r="AN23" i="40" l="1"/>
  <c r="AO23" i="40" s="1"/>
  <c r="AM58" i="40"/>
  <c r="AP38" i="40"/>
  <c r="AQ38" i="40" s="1"/>
  <c r="AN38" i="40"/>
  <c r="AO38" i="40" s="1"/>
  <c r="AP42" i="40"/>
  <c r="AQ42" i="40" s="1"/>
  <c r="AN42" i="40"/>
  <c r="AO42" i="40" s="1"/>
  <c r="AK54" i="40"/>
  <c r="AP54" i="40" s="1"/>
  <c r="AQ54" i="40" s="1"/>
  <c r="AN54" i="40"/>
  <c r="AO54" i="40" s="1"/>
  <c r="AK56" i="40"/>
  <c r="AP56" i="40" s="1"/>
  <c r="AQ56" i="40" s="1"/>
  <c r="AN56" i="40"/>
  <c r="AO56" i="40" s="1"/>
  <c r="AG58" i="40"/>
  <c r="AG61" i="40" s="1"/>
  <c r="AG62" i="40" s="1"/>
  <c r="Z58" i="40"/>
  <c r="AA14" i="40"/>
  <c r="AK24" i="40"/>
  <c r="AP24" i="40" s="1"/>
  <c r="AQ24" i="40" s="1"/>
  <c r="AN24" i="40"/>
  <c r="AO24" i="40" s="1"/>
  <c r="AK31" i="40"/>
  <c r="AP31" i="40" s="1"/>
  <c r="AQ31" i="40" s="1"/>
  <c r="AN31" i="40"/>
  <c r="AO31" i="40" s="1"/>
  <c r="AK20" i="40"/>
  <c r="AP20" i="40" s="1"/>
  <c r="AN20" i="40"/>
  <c r="AO20" i="40" s="1"/>
  <c r="AK55" i="40"/>
  <c r="AP55" i="40" s="1"/>
  <c r="AQ55" i="40" s="1"/>
  <c r="AN55" i="40"/>
  <c r="AO55" i="40" s="1"/>
  <c r="AN35" i="40"/>
  <c r="AO35" i="40" s="1"/>
  <c r="AN25" i="40"/>
  <c r="AO25" i="40" s="1"/>
  <c r="AN43" i="40"/>
  <c r="AO43" i="40" s="1"/>
  <c r="AN50" i="40"/>
  <c r="AO50" i="40" s="1"/>
  <c r="Q64" i="40"/>
  <c r="Q65" i="40" s="1"/>
  <c r="AK51" i="40"/>
  <c r="AP51" i="40" s="1"/>
  <c r="AQ51" i="40" s="1"/>
  <c r="AN51" i="40"/>
  <c r="AO51" i="40" s="1"/>
  <c r="Q61" i="40"/>
  <c r="Q62" i="40" s="1"/>
  <c r="D34" i="32"/>
  <c r="G41" i="32"/>
  <c r="F40" i="32"/>
  <c r="O37" i="32"/>
  <c r="N37" i="32"/>
  <c r="M37" i="32"/>
  <c r="L37" i="32"/>
  <c r="K37" i="32"/>
  <c r="AC36" i="32"/>
  <c r="AB36" i="32"/>
  <c r="AD36" i="32" s="1"/>
  <c r="Q36" i="32"/>
  <c r="Y36" i="32" s="1"/>
  <c r="P36" i="32"/>
  <c r="I36" i="32"/>
  <c r="H36" i="32"/>
  <c r="AC35" i="32"/>
  <c r="AB35" i="32"/>
  <c r="AD35" i="32" s="1"/>
  <c r="Q35" i="32"/>
  <c r="Y35" i="32" s="1"/>
  <c r="P35" i="32"/>
  <c r="I35" i="32"/>
  <c r="H35" i="32"/>
  <c r="AC34" i="32"/>
  <c r="AB34" i="32"/>
  <c r="AD34" i="32" s="1"/>
  <c r="Q34" i="32"/>
  <c r="Y34" i="32" s="1"/>
  <c r="P34" i="32"/>
  <c r="I34" i="32"/>
  <c r="H34" i="32"/>
  <c r="AC33" i="32"/>
  <c r="AB33" i="32"/>
  <c r="AD33" i="32" s="1"/>
  <c r="Q33" i="32"/>
  <c r="Y33" i="32" s="1"/>
  <c r="P33" i="32"/>
  <c r="I33" i="32"/>
  <c r="H33" i="32"/>
  <c r="AC32" i="32"/>
  <c r="AB32" i="32"/>
  <c r="AD32" i="32" s="1"/>
  <c r="Q32" i="32"/>
  <c r="Y32" i="32" s="1"/>
  <c r="P32" i="32"/>
  <c r="I32" i="32"/>
  <c r="H32" i="32"/>
  <c r="AC31" i="32"/>
  <c r="AB31" i="32"/>
  <c r="AD31" i="32" s="1"/>
  <c r="Q31" i="32"/>
  <c r="Y31" i="32" s="1"/>
  <c r="P31" i="32"/>
  <c r="I31" i="32"/>
  <c r="H31" i="32"/>
  <c r="AC30" i="32"/>
  <c r="AB30" i="32"/>
  <c r="AD30" i="32" s="1"/>
  <c r="Q30" i="32"/>
  <c r="Y30" i="32" s="1"/>
  <c r="P30" i="32"/>
  <c r="I30" i="32"/>
  <c r="H30" i="32"/>
  <c r="AC29" i="32"/>
  <c r="AB29" i="32"/>
  <c r="AD29" i="32" s="1"/>
  <c r="Q29" i="32"/>
  <c r="Y29" i="32" s="1"/>
  <c r="P29" i="32"/>
  <c r="I29" i="32"/>
  <c r="H29" i="32"/>
  <c r="AC28" i="32"/>
  <c r="AB28" i="32"/>
  <c r="AD28" i="32" s="1"/>
  <c r="Q28" i="32"/>
  <c r="Y28" i="32" s="1"/>
  <c r="P28" i="32"/>
  <c r="I28" i="32"/>
  <c r="H28" i="32"/>
  <c r="AC27" i="32"/>
  <c r="AB27" i="32"/>
  <c r="AD27" i="32" s="1"/>
  <c r="Q27" i="32"/>
  <c r="Y27" i="32" s="1"/>
  <c r="P27" i="32"/>
  <c r="I27" i="32"/>
  <c r="H27" i="32"/>
  <c r="AC26" i="32"/>
  <c r="AB26" i="32"/>
  <c r="AD26" i="32" s="1"/>
  <c r="Q26" i="32"/>
  <c r="Y26" i="32" s="1"/>
  <c r="P26" i="32"/>
  <c r="I26" i="32"/>
  <c r="H26" i="32"/>
  <c r="AC25" i="32"/>
  <c r="AB25" i="32"/>
  <c r="AD25" i="32" s="1"/>
  <c r="Q25" i="32"/>
  <c r="Y25" i="32" s="1"/>
  <c r="P25" i="32"/>
  <c r="I25" i="32"/>
  <c r="H25" i="32"/>
  <c r="AC24" i="32"/>
  <c r="AB24" i="32"/>
  <c r="AD24" i="32" s="1"/>
  <c r="Q24" i="32"/>
  <c r="Y24" i="32" s="1"/>
  <c r="P24" i="32"/>
  <c r="I24" i="32"/>
  <c r="H24" i="32"/>
  <c r="AC23" i="32"/>
  <c r="AB23" i="32"/>
  <c r="AD23" i="32" s="1"/>
  <c r="Q23" i="32"/>
  <c r="Y23" i="32" s="1"/>
  <c r="P23" i="32"/>
  <c r="I23" i="32"/>
  <c r="H23" i="32"/>
  <c r="AC22" i="32"/>
  <c r="AB22" i="32"/>
  <c r="AD22" i="32" s="1"/>
  <c r="Q22" i="32"/>
  <c r="Y22" i="32" s="1"/>
  <c r="P22" i="32"/>
  <c r="I22" i="32"/>
  <c r="H22" i="32"/>
  <c r="S20" i="32"/>
  <c r="H20" i="32"/>
  <c r="I20" i="32" s="1"/>
  <c r="AM20" i="32" s="1"/>
  <c r="AH19" i="32"/>
  <c r="AG19" i="32"/>
  <c r="AC19" i="32"/>
  <c r="AJ19" i="32" s="1"/>
  <c r="AB19" i="32"/>
  <c r="AD19" i="32" s="1"/>
  <c r="AK19" i="32" s="1"/>
  <c r="W19" i="32"/>
  <c r="S19" i="32"/>
  <c r="R19" i="32"/>
  <c r="X19" i="32" s="1"/>
  <c r="Q19" i="32"/>
  <c r="P19" i="32"/>
  <c r="I19" i="32"/>
  <c r="H19" i="32"/>
  <c r="AG18" i="32"/>
  <c r="AC18" i="32"/>
  <c r="AJ18" i="32" s="1"/>
  <c r="AB18" i="32"/>
  <c r="AH18" i="32" s="1"/>
  <c r="S18" i="32"/>
  <c r="R18" i="32"/>
  <c r="V18" i="32" s="1"/>
  <c r="Q18" i="32"/>
  <c r="P18" i="32"/>
  <c r="I18" i="32"/>
  <c r="H18" i="32"/>
  <c r="AG17" i="32"/>
  <c r="AC17" i="32"/>
  <c r="AJ17" i="32" s="1"/>
  <c r="AB17" i="32"/>
  <c r="AH17" i="32" s="1"/>
  <c r="R17" i="32"/>
  <c r="X17" i="32" s="1"/>
  <c r="Q17" i="32"/>
  <c r="P17" i="32"/>
  <c r="H17" i="32"/>
  <c r="I17" i="32" s="1"/>
  <c r="AG16" i="32"/>
  <c r="AC16" i="32"/>
  <c r="AJ16" i="32" s="1"/>
  <c r="AB16" i="32"/>
  <c r="AD16" i="32" s="1"/>
  <c r="AK16" i="32" s="1"/>
  <c r="R16" i="32"/>
  <c r="X16" i="32" s="1"/>
  <c r="Q16" i="32"/>
  <c r="P16" i="32"/>
  <c r="H16" i="32"/>
  <c r="I16" i="32" s="1"/>
  <c r="AG15" i="32"/>
  <c r="AC15" i="32"/>
  <c r="AJ15" i="32" s="1"/>
  <c r="AB15" i="32"/>
  <c r="AD15" i="32" s="1"/>
  <c r="AK15" i="32" s="1"/>
  <c r="R15" i="32"/>
  <c r="X15" i="32" s="1"/>
  <c r="Q15" i="32"/>
  <c r="P15" i="32"/>
  <c r="H15" i="32"/>
  <c r="I15" i="32" s="1"/>
  <c r="AH14" i="32"/>
  <c r="AG14" i="32"/>
  <c r="AC14" i="32"/>
  <c r="AB14" i="32"/>
  <c r="AD14" i="32" s="1"/>
  <c r="AK14" i="32" s="1"/>
  <c r="W14" i="32"/>
  <c r="S14" i="32"/>
  <c r="R14" i="32"/>
  <c r="X14" i="32" s="1"/>
  <c r="Q14" i="32"/>
  <c r="P14" i="32"/>
  <c r="I14" i="32"/>
  <c r="H14" i="32"/>
  <c r="AG13" i="32"/>
  <c r="AC13" i="32"/>
  <c r="AJ13" i="32" s="1"/>
  <c r="AB13" i="32"/>
  <c r="AH13" i="32" s="1"/>
  <c r="R13" i="32"/>
  <c r="X13" i="32" s="1"/>
  <c r="Q13" i="32"/>
  <c r="P13" i="32"/>
  <c r="H13" i="32"/>
  <c r="I13" i="32" s="1"/>
  <c r="AG12" i="32"/>
  <c r="AC12" i="32"/>
  <c r="AJ12" i="32" s="1"/>
  <c r="AB12" i="32"/>
  <c r="AD12" i="32" s="1"/>
  <c r="AK12" i="32" s="1"/>
  <c r="R12" i="32"/>
  <c r="X12" i="32" s="1"/>
  <c r="Q12" i="32"/>
  <c r="P12" i="32"/>
  <c r="H12" i="32"/>
  <c r="I12" i="32" s="1"/>
  <c r="AG11" i="32"/>
  <c r="AC11" i="32"/>
  <c r="AJ11" i="32" s="1"/>
  <c r="AB11" i="32"/>
  <c r="AD11" i="32" s="1"/>
  <c r="AK11" i="32" s="1"/>
  <c r="R11" i="32"/>
  <c r="X11" i="32" s="1"/>
  <c r="Q11" i="32"/>
  <c r="P11" i="32"/>
  <c r="H11" i="32"/>
  <c r="I11" i="32" s="1"/>
  <c r="AH10" i="32"/>
  <c r="AG10" i="32"/>
  <c r="AC10" i="32"/>
  <c r="AJ10" i="32" s="1"/>
  <c r="AB10" i="32"/>
  <c r="AD10" i="32" s="1"/>
  <c r="AK10" i="32" s="1"/>
  <c r="W10" i="32"/>
  <c r="S10" i="32"/>
  <c r="R10" i="32"/>
  <c r="X10" i="32" s="1"/>
  <c r="Q10" i="32"/>
  <c r="P10" i="32"/>
  <c r="I10" i="32"/>
  <c r="H10" i="32"/>
  <c r="AG9" i="32"/>
  <c r="AC9" i="32"/>
  <c r="AJ9" i="32" s="1"/>
  <c r="AB9" i="32"/>
  <c r="AD9" i="32" s="1"/>
  <c r="AK9" i="32" s="1"/>
  <c r="R9" i="32"/>
  <c r="X9" i="32" s="1"/>
  <c r="Q9" i="32"/>
  <c r="P9" i="32"/>
  <c r="H9" i="32"/>
  <c r="I9" i="32" s="1"/>
  <c r="AG8" i="32"/>
  <c r="AC8" i="32"/>
  <c r="AJ8" i="32" s="1"/>
  <c r="AB8" i="32"/>
  <c r="AD8" i="32" s="1"/>
  <c r="AK8" i="32" s="1"/>
  <c r="R8" i="32"/>
  <c r="X8" i="32" s="1"/>
  <c r="Q8" i="32"/>
  <c r="P8" i="32"/>
  <c r="H8" i="32"/>
  <c r="I8" i="32" s="1"/>
  <c r="I37" i="32" s="1"/>
  <c r="D50" i="32" s="1"/>
  <c r="E13" i="34" s="1"/>
  <c r="D63" i="27"/>
  <c r="E63" i="27" s="1"/>
  <c r="AK58" i="40" l="1"/>
  <c r="AA58" i="40"/>
  <c r="AP14" i="40"/>
  <c r="AN14" i="40"/>
  <c r="AK61" i="40"/>
  <c r="AK62" i="40" s="1"/>
  <c r="U8" i="32"/>
  <c r="U12" i="32"/>
  <c r="U16" i="32"/>
  <c r="S8" i="32"/>
  <c r="Y8" i="32" s="1"/>
  <c r="W8" i="32"/>
  <c r="AH8" i="32"/>
  <c r="U10" i="32"/>
  <c r="S12" i="32"/>
  <c r="W12" i="32"/>
  <c r="AH12" i="32"/>
  <c r="U14" i="32"/>
  <c r="S16" i="32"/>
  <c r="W16" i="32"/>
  <c r="AH16" i="32"/>
  <c r="U19" i="32"/>
  <c r="G42" i="32"/>
  <c r="C51" i="32"/>
  <c r="D35" i="32"/>
  <c r="D51" i="32" s="1"/>
  <c r="E90" i="34" s="1"/>
  <c r="AE14" i="32"/>
  <c r="AI14" i="32" s="1"/>
  <c r="T9" i="32"/>
  <c r="T11" i="32"/>
  <c r="V11" i="32"/>
  <c r="AE12" i="32"/>
  <c r="AI12" i="32" s="1"/>
  <c r="T13" i="32"/>
  <c r="AD13" i="32"/>
  <c r="AK13" i="32" s="1"/>
  <c r="AJ14" i="32"/>
  <c r="AE47" i="32" s="1"/>
  <c r="T15" i="32"/>
  <c r="V15" i="32"/>
  <c r="AE16" i="32"/>
  <c r="AI16" i="32" s="1"/>
  <c r="T17" i="32"/>
  <c r="AD17" i="32"/>
  <c r="AK17" i="32" s="1"/>
  <c r="AD18" i="32"/>
  <c r="AK18" i="32" s="1"/>
  <c r="P37" i="32"/>
  <c r="T8" i="32"/>
  <c r="V8" i="32"/>
  <c r="AE44" i="32"/>
  <c r="AG37" i="32"/>
  <c r="S9" i="32"/>
  <c r="Y9" i="32" s="1"/>
  <c r="AL9" i="32" s="1"/>
  <c r="AM9" i="32" s="1"/>
  <c r="U9" i="32"/>
  <c r="W9" i="32"/>
  <c r="AE9" i="32"/>
  <c r="AI9" i="32" s="1"/>
  <c r="AH9" i="32"/>
  <c r="T10" i="32"/>
  <c r="Y10" i="32" s="1"/>
  <c r="V10" i="32"/>
  <c r="S11" i="32"/>
  <c r="Y11" i="32" s="1"/>
  <c r="U11" i="32"/>
  <c r="P51" i="32" s="1"/>
  <c r="W11" i="32"/>
  <c r="AE11" i="32"/>
  <c r="AI11" i="32" s="1"/>
  <c r="AH11" i="32"/>
  <c r="T12" i="32"/>
  <c r="Y12" i="32" s="1"/>
  <c r="AL12" i="32" s="1"/>
  <c r="AM12" i="32" s="1"/>
  <c r="V12" i="32"/>
  <c r="S13" i="32"/>
  <c r="Y13" i="32" s="1"/>
  <c r="AL13" i="32" s="1"/>
  <c r="AM13" i="32" s="1"/>
  <c r="U13" i="32"/>
  <c r="W13" i="32"/>
  <c r="AE13" i="32"/>
  <c r="AI13" i="32" s="1"/>
  <c r="T14" i="32"/>
  <c r="Y14" i="32" s="1"/>
  <c r="AL14" i="32" s="1"/>
  <c r="AM14" i="32" s="1"/>
  <c r="V14" i="32"/>
  <c r="S15" i="32"/>
  <c r="Y15" i="32" s="1"/>
  <c r="AL15" i="32" s="1"/>
  <c r="AM15" i="32" s="1"/>
  <c r="U15" i="32"/>
  <c r="W15" i="32"/>
  <c r="AE15" i="32"/>
  <c r="AI15" i="32" s="1"/>
  <c r="AH15" i="32"/>
  <c r="T16" i="32"/>
  <c r="V16" i="32"/>
  <c r="S17" i="32"/>
  <c r="U17" i="32"/>
  <c r="W17" i="32"/>
  <c r="W18" i="32"/>
  <c r="U18" i="32"/>
  <c r="T18" i="32"/>
  <c r="Y18" i="32" s="1"/>
  <c r="X18" i="32"/>
  <c r="X37" i="32" s="1"/>
  <c r="AL23" i="32"/>
  <c r="AM23" i="32" s="1"/>
  <c r="AE23" i="32"/>
  <c r="AI23" i="32" s="1"/>
  <c r="AL25" i="32"/>
  <c r="AM25" i="32" s="1"/>
  <c r="AE25" i="32"/>
  <c r="AI25" i="32" s="1"/>
  <c r="AL27" i="32"/>
  <c r="AM27" i="32" s="1"/>
  <c r="AE27" i="32"/>
  <c r="AI27" i="32" s="1"/>
  <c r="AL29" i="32"/>
  <c r="AM29" i="32" s="1"/>
  <c r="AE29" i="32"/>
  <c r="AI29" i="32" s="1"/>
  <c r="AL31" i="32"/>
  <c r="AM31" i="32" s="1"/>
  <c r="AE31" i="32"/>
  <c r="AI31" i="32" s="1"/>
  <c r="AL33" i="32"/>
  <c r="AM33" i="32" s="1"/>
  <c r="AE33" i="32"/>
  <c r="AI33" i="32" s="1"/>
  <c r="AL35" i="32"/>
  <c r="AM35" i="32" s="1"/>
  <c r="AE35" i="32"/>
  <c r="AI35" i="32" s="1"/>
  <c r="Q37" i="32"/>
  <c r="P47" i="32"/>
  <c r="AE8" i="32"/>
  <c r="V9" i="32"/>
  <c r="AE10" i="32"/>
  <c r="AI10" i="32" s="1"/>
  <c r="V13" i="32"/>
  <c r="V17" i="32"/>
  <c r="AE19" i="32"/>
  <c r="AI19" i="32" s="1"/>
  <c r="AE22" i="32"/>
  <c r="AI22" i="32" s="1"/>
  <c r="AL22" i="32" s="1"/>
  <c r="AM22" i="32" s="1"/>
  <c r="AE24" i="32"/>
  <c r="AI24" i="32" s="1"/>
  <c r="AL24" i="32" s="1"/>
  <c r="AM24" i="32" s="1"/>
  <c r="AE26" i="32"/>
  <c r="AI26" i="32" s="1"/>
  <c r="AL26" i="32" s="1"/>
  <c r="AM26" i="32" s="1"/>
  <c r="AE28" i="32"/>
  <c r="AI28" i="32" s="1"/>
  <c r="AL28" i="32" s="1"/>
  <c r="AM28" i="32" s="1"/>
  <c r="AE30" i="32"/>
  <c r="AI30" i="32" s="1"/>
  <c r="AL30" i="32" s="1"/>
  <c r="AM30" i="32" s="1"/>
  <c r="AE32" i="32"/>
  <c r="AI32" i="32" s="1"/>
  <c r="AL32" i="32" s="1"/>
  <c r="AM32" i="32" s="1"/>
  <c r="AE34" i="32"/>
  <c r="AI34" i="32" s="1"/>
  <c r="AL34" i="32" s="1"/>
  <c r="AM34" i="32" s="1"/>
  <c r="AE36" i="32"/>
  <c r="AI36" i="32" s="1"/>
  <c r="AL36" i="32" s="1"/>
  <c r="AM36" i="32" s="1"/>
  <c r="AE18" i="32"/>
  <c r="AI18" i="32" s="1"/>
  <c r="T19" i="32"/>
  <c r="Y19" i="32" s="1"/>
  <c r="V19" i="32"/>
  <c r="AN58" i="40" l="1"/>
  <c r="AO14" i="40"/>
  <c r="AO58" i="40" s="1"/>
  <c r="AP58" i="40"/>
  <c r="AQ14" i="40"/>
  <c r="AQ58" i="40" s="1"/>
  <c r="AL18" i="32"/>
  <c r="AM18" i="32" s="1"/>
  <c r="AL19" i="32"/>
  <c r="AM19" i="32" s="1"/>
  <c r="P50" i="32"/>
  <c r="Y17" i="32"/>
  <c r="Y37" i="32" s="1"/>
  <c r="Y16" i="32"/>
  <c r="AL16" i="32" s="1"/>
  <c r="AM16" i="32" s="1"/>
  <c r="AH37" i="32"/>
  <c r="W37" i="32"/>
  <c r="AL11" i="32"/>
  <c r="AM11" i="32" s="1"/>
  <c r="AL10" i="32"/>
  <c r="AM10" i="32" s="1"/>
  <c r="U37" i="32"/>
  <c r="AE48" i="32"/>
  <c r="AJ37" i="32"/>
  <c r="S37" i="32"/>
  <c r="AE45" i="32"/>
  <c r="AE17" i="32"/>
  <c r="AI17" i="32" s="1"/>
  <c r="T37" i="32"/>
  <c r="AK37" i="32"/>
  <c r="P48" i="32"/>
  <c r="AE37" i="32"/>
  <c r="AE40" i="32" s="1"/>
  <c r="AE41" i="32" s="1"/>
  <c r="AI8" i="32"/>
  <c r="V37" i="32"/>
  <c r="Q43" i="32"/>
  <c r="Q44" i="32" s="1"/>
  <c r="AL8" i="32"/>
  <c r="P52" i="32"/>
  <c r="P53" i="32" s="1"/>
  <c r="AL17" i="32" l="1"/>
  <c r="AM17" i="32" s="1"/>
  <c r="AL37" i="32"/>
  <c r="AM8" i="32"/>
  <c r="AM37" i="32" s="1"/>
  <c r="AI40" i="32"/>
  <c r="AI41" i="32" s="1"/>
  <c r="AI37" i="32"/>
  <c r="O40" i="32"/>
  <c r="O41" i="32" s="1"/>
  <c r="M37" i="27" l="1"/>
  <c r="L37" i="27"/>
  <c r="AG9" i="27" l="1"/>
  <c r="AG10" i="27"/>
  <c r="AG11" i="27"/>
  <c r="AG12" i="27"/>
  <c r="AG13" i="27"/>
  <c r="AG14" i="27"/>
  <c r="AG15" i="27"/>
  <c r="AG16" i="27"/>
  <c r="AG17" i="27"/>
  <c r="AG18" i="27"/>
  <c r="AG19" i="27"/>
  <c r="AG8" i="27"/>
  <c r="AG37" i="27" l="1"/>
  <c r="AE44" i="27"/>
  <c r="G41" i="27" l="1"/>
  <c r="F40" i="27"/>
  <c r="K37" i="27"/>
  <c r="AC36" i="27"/>
  <c r="AE36" i="27" s="1"/>
  <c r="AI36" i="27" s="1"/>
  <c r="AB36" i="27"/>
  <c r="AD36" i="27" s="1"/>
  <c r="Q36" i="27"/>
  <c r="Y36" i="27" s="1"/>
  <c r="AL36" i="27" s="1"/>
  <c r="P36" i="27"/>
  <c r="H36" i="27"/>
  <c r="I36" i="27" s="1"/>
  <c r="AC35" i="27"/>
  <c r="AB35" i="27"/>
  <c r="AD35" i="27" s="1"/>
  <c r="Q35" i="27"/>
  <c r="P35" i="27"/>
  <c r="H35" i="27"/>
  <c r="I35" i="27" s="1"/>
  <c r="AC34" i="27"/>
  <c r="AE34" i="27" s="1"/>
  <c r="AI34" i="27" s="1"/>
  <c r="AB34" i="27"/>
  <c r="AD34" i="27" s="1"/>
  <c r="Q34" i="27"/>
  <c r="Y34" i="27" s="1"/>
  <c r="AL34" i="27" s="1"/>
  <c r="P34" i="27"/>
  <c r="H34" i="27"/>
  <c r="I34" i="27" s="1"/>
  <c r="AC33" i="27"/>
  <c r="AB33" i="27"/>
  <c r="AD33" i="27" s="1"/>
  <c r="Q33" i="27"/>
  <c r="P33" i="27"/>
  <c r="H33" i="27"/>
  <c r="I33" i="27" s="1"/>
  <c r="AC32" i="27"/>
  <c r="AE32" i="27" s="1"/>
  <c r="AI32" i="27" s="1"/>
  <c r="AB32" i="27"/>
  <c r="AD32" i="27" s="1"/>
  <c r="Q32" i="27"/>
  <c r="P32" i="27"/>
  <c r="H32" i="27"/>
  <c r="I32" i="27" s="1"/>
  <c r="AC31" i="27"/>
  <c r="AB31" i="27"/>
  <c r="AD31" i="27" s="1"/>
  <c r="Q31" i="27"/>
  <c r="P31" i="27"/>
  <c r="Y31" i="27" s="1"/>
  <c r="H31" i="27"/>
  <c r="I31" i="27" s="1"/>
  <c r="AC30" i="27"/>
  <c r="AE30" i="27" s="1"/>
  <c r="AI30" i="27" s="1"/>
  <c r="AB30" i="27"/>
  <c r="AD30" i="27" s="1"/>
  <c r="Q30" i="27"/>
  <c r="P30" i="27"/>
  <c r="H30" i="27"/>
  <c r="I30" i="27" s="1"/>
  <c r="AC29" i="27"/>
  <c r="AB29" i="27"/>
  <c r="AD29" i="27" s="1"/>
  <c r="Q29" i="27"/>
  <c r="P29" i="27"/>
  <c r="Y29" i="27" s="1"/>
  <c r="H29" i="27"/>
  <c r="I29" i="27" s="1"/>
  <c r="AC28" i="27"/>
  <c r="AE28" i="27" s="1"/>
  <c r="AI28" i="27" s="1"/>
  <c r="AB28" i="27"/>
  <c r="AD28" i="27" s="1"/>
  <c r="Q28" i="27"/>
  <c r="P28" i="27"/>
  <c r="H28" i="27"/>
  <c r="I28" i="27" s="1"/>
  <c r="AC27" i="27"/>
  <c r="AB27" i="27"/>
  <c r="AD27" i="27" s="1"/>
  <c r="Q27" i="27"/>
  <c r="P27" i="27"/>
  <c r="Y27" i="27" s="1"/>
  <c r="H27" i="27"/>
  <c r="I27" i="27" s="1"/>
  <c r="AC26" i="27"/>
  <c r="AE26" i="27" s="1"/>
  <c r="AI26" i="27" s="1"/>
  <c r="AB26" i="27"/>
  <c r="AD26" i="27" s="1"/>
  <c r="Q26" i="27"/>
  <c r="P26" i="27"/>
  <c r="H26" i="27"/>
  <c r="I26" i="27" s="1"/>
  <c r="AC25" i="27"/>
  <c r="AB25" i="27"/>
  <c r="AD25" i="27" s="1"/>
  <c r="Q25" i="27"/>
  <c r="P25" i="27"/>
  <c r="Y25" i="27" s="1"/>
  <c r="H25" i="27"/>
  <c r="I25" i="27" s="1"/>
  <c r="AC24" i="27"/>
  <c r="AE24" i="27" s="1"/>
  <c r="AI24" i="27" s="1"/>
  <c r="AB24" i="27"/>
  <c r="AD24" i="27" s="1"/>
  <c r="Q24" i="27"/>
  <c r="P24" i="27"/>
  <c r="H24" i="27"/>
  <c r="I24" i="27" s="1"/>
  <c r="AC23" i="27"/>
  <c r="AB23" i="27"/>
  <c r="AD23" i="27" s="1"/>
  <c r="Q23" i="27"/>
  <c r="P23" i="27"/>
  <c r="Y23" i="27" s="1"/>
  <c r="H23" i="27"/>
  <c r="I23" i="27" s="1"/>
  <c r="AC22" i="27"/>
  <c r="AE22" i="27" s="1"/>
  <c r="AI22" i="27" s="1"/>
  <c r="AB22" i="27"/>
  <c r="AD22" i="27" s="1"/>
  <c r="Q22" i="27"/>
  <c r="P22" i="27"/>
  <c r="H22" i="27"/>
  <c r="I22" i="27" s="1"/>
  <c r="S20" i="27"/>
  <c r="I20" i="27"/>
  <c r="AM20" i="27" s="1"/>
  <c r="H20" i="27"/>
  <c r="AC19" i="27"/>
  <c r="AB19" i="27"/>
  <c r="R19" i="27"/>
  <c r="Q19" i="27"/>
  <c r="P19" i="27"/>
  <c r="H19" i="27"/>
  <c r="I19" i="27" s="1"/>
  <c r="AC18" i="27"/>
  <c r="AB18" i="27"/>
  <c r="R18" i="27"/>
  <c r="Q18" i="27"/>
  <c r="P18" i="27"/>
  <c r="H18" i="27"/>
  <c r="I18" i="27" s="1"/>
  <c r="AC17" i="27"/>
  <c r="AB17" i="27"/>
  <c r="R17" i="27"/>
  <c r="Q17" i="27"/>
  <c r="P17" i="27"/>
  <c r="H17" i="27"/>
  <c r="I17" i="27" s="1"/>
  <c r="AC16" i="27"/>
  <c r="AJ16" i="27" s="1"/>
  <c r="AB16" i="27"/>
  <c r="S16" i="27"/>
  <c r="R16" i="27"/>
  <c r="Q16" i="27"/>
  <c r="P16" i="27"/>
  <c r="I16" i="27"/>
  <c r="H16" i="27"/>
  <c r="AC15" i="27"/>
  <c r="AJ15" i="27" s="1"/>
  <c r="AB15" i="27"/>
  <c r="R15" i="27"/>
  <c r="Q15" i="27"/>
  <c r="P15" i="27"/>
  <c r="H15" i="27"/>
  <c r="I15" i="27" s="1"/>
  <c r="AC14" i="27"/>
  <c r="AJ14" i="27" s="1"/>
  <c r="AB14" i="27"/>
  <c r="S14" i="27"/>
  <c r="R14" i="27"/>
  <c r="Q14" i="27"/>
  <c r="P14" i="27"/>
  <c r="I14" i="27"/>
  <c r="H14" i="27"/>
  <c r="AC13" i="27"/>
  <c r="AJ13" i="27" s="1"/>
  <c r="AB13" i="27"/>
  <c r="R13" i="27"/>
  <c r="Q13" i="27"/>
  <c r="P13" i="27"/>
  <c r="H13" i="27"/>
  <c r="I13" i="27" s="1"/>
  <c r="AC12" i="27"/>
  <c r="AJ12" i="27" s="1"/>
  <c r="AB12" i="27"/>
  <c r="S12" i="27"/>
  <c r="R12" i="27"/>
  <c r="Q12" i="27"/>
  <c r="P12" i="27"/>
  <c r="I12" i="27"/>
  <c r="H12" i="27"/>
  <c r="AC11" i="27"/>
  <c r="AJ11" i="27" s="1"/>
  <c r="AB11" i="27"/>
  <c r="R11" i="27"/>
  <c r="Q11" i="27"/>
  <c r="P11" i="27"/>
  <c r="H11" i="27"/>
  <c r="I11" i="27" s="1"/>
  <c r="AC10" i="27"/>
  <c r="AJ10" i="27" s="1"/>
  <c r="AB10" i="27"/>
  <c r="R10" i="27"/>
  <c r="Q10" i="27"/>
  <c r="P10" i="27"/>
  <c r="H10" i="27"/>
  <c r="I10" i="27" s="1"/>
  <c r="AC9" i="27"/>
  <c r="AJ9" i="27" s="1"/>
  <c r="AB9" i="27"/>
  <c r="R9" i="27"/>
  <c r="Q9" i="27"/>
  <c r="P9" i="27"/>
  <c r="H9" i="27"/>
  <c r="I9" i="27" s="1"/>
  <c r="AC8" i="27"/>
  <c r="AJ8" i="27" s="1"/>
  <c r="AB8" i="27"/>
  <c r="R8" i="27"/>
  <c r="Q8" i="27"/>
  <c r="P8" i="27"/>
  <c r="P37" i="27" s="1"/>
  <c r="H8" i="27"/>
  <c r="I8" i="27" s="1"/>
  <c r="T8" i="27" l="1"/>
  <c r="V8" i="27"/>
  <c r="U8" i="27"/>
  <c r="X8" i="27"/>
  <c r="W8" i="27"/>
  <c r="S9" i="27"/>
  <c r="V9" i="27"/>
  <c r="P52" i="27" s="1"/>
  <c r="U9" i="27"/>
  <c r="X9" i="27"/>
  <c r="W9" i="27"/>
  <c r="T10" i="27"/>
  <c r="V10" i="27"/>
  <c r="U10" i="27"/>
  <c r="X10" i="27"/>
  <c r="W10" i="27"/>
  <c r="S11" i="27"/>
  <c r="V11" i="27"/>
  <c r="U11" i="27"/>
  <c r="X11" i="27"/>
  <c r="W11" i="27"/>
  <c r="S13" i="27"/>
  <c r="Y13" i="27" s="1"/>
  <c r="AL13" i="27" s="1"/>
  <c r="AM13" i="27" s="1"/>
  <c r="V13" i="27"/>
  <c r="U13" i="27"/>
  <c r="X13" i="27"/>
  <c r="W13" i="27"/>
  <c r="S15" i="27"/>
  <c r="V15" i="27"/>
  <c r="U15" i="27"/>
  <c r="X15" i="27"/>
  <c r="W15" i="27"/>
  <c r="S17" i="27"/>
  <c r="Y17" i="27" s="1"/>
  <c r="V17" i="27"/>
  <c r="U17" i="27"/>
  <c r="X17" i="27"/>
  <c r="W17" i="27"/>
  <c r="AJ17" i="27"/>
  <c r="AJ37" i="27" s="1"/>
  <c r="T18" i="27"/>
  <c r="V18" i="27"/>
  <c r="U18" i="27"/>
  <c r="X18" i="27"/>
  <c r="W18" i="27"/>
  <c r="AJ18" i="27"/>
  <c r="S19" i="27"/>
  <c r="V19" i="27"/>
  <c r="U19" i="27"/>
  <c r="X19" i="27"/>
  <c r="W19" i="27"/>
  <c r="AJ19" i="27"/>
  <c r="I37" i="27"/>
  <c r="Q37" i="27"/>
  <c r="AD8" i="27"/>
  <c r="AK8" i="27" s="1"/>
  <c r="AH8" i="27"/>
  <c r="AD9" i="27"/>
  <c r="AK9" i="27" s="1"/>
  <c r="AH9" i="27"/>
  <c r="AD10" i="27"/>
  <c r="AK10" i="27" s="1"/>
  <c r="AH10" i="27"/>
  <c r="AD11" i="27"/>
  <c r="AK11" i="27" s="1"/>
  <c r="AH11" i="27"/>
  <c r="T12" i="27"/>
  <c r="Y12" i="27" s="1"/>
  <c r="AL12" i="27" s="1"/>
  <c r="AM12" i="27" s="1"/>
  <c r="V12" i="27"/>
  <c r="U12" i="27"/>
  <c r="X12" i="27"/>
  <c r="W12" i="27"/>
  <c r="AD12" i="27"/>
  <c r="AK12" i="27" s="1"/>
  <c r="AH12" i="27"/>
  <c r="AD13" i="27"/>
  <c r="AK13" i="27" s="1"/>
  <c r="AH13" i="27"/>
  <c r="T14" i="27"/>
  <c r="V14" i="27"/>
  <c r="U14" i="27"/>
  <c r="X14" i="27"/>
  <c r="W14" i="27"/>
  <c r="AD14" i="27"/>
  <c r="AK14" i="27" s="1"/>
  <c r="AH14" i="27"/>
  <c r="AD15" i="27"/>
  <c r="AK15" i="27" s="1"/>
  <c r="AH15" i="27"/>
  <c r="T16" i="27"/>
  <c r="Y16" i="27" s="1"/>
  <c r="AL16" i="27" s="1"/>
  <c r="AM16" i="27" s="1"/>
  <c r="V16" i="27"/>
  <c r="U16" i="27"/>
  <c r="X16" i="27"/>
  <c r="W16" i="27"/>
  <c r="AD16" i="27"/>
  <c r="AK16" i="27" s="1"/>
  <c r="AH16" i="27"/>
  <c r="AD17" i="27"/>
  <c r="AK17" i="27" s="1"/>
  <c r="AH17" i="27"/>
  <c r="AD18" i="27"/>
  <c r="AK18" i="27" s="1"/>
  <c r="AH18" i="27"/>
  <c r="AD19" i="27"/>
  <c r="AK19" i="27" s="1"/>
  <c r="AH19" i="27"/>
  <c r="Y22" i="27"/>
  <c r="AL22" i="27" s="1"/>
  <c r="AM22" i="27" s="1"/>
  <c r="Y24" i="27"/>
  <c r="Y26" i="27"/>
  <c r="AL26" i="27" s="1"/>
  <c r="AM26" i="27" s="1"/>
  <c r="Y28" i="27"/>
  <c r="Y30" i="27"/>
  <c r="AL30" i="27" s="1"/>
  <c r="AM30" i="27" s="1"/>
  <c r="Y32" i="27"/>
  <c r="Y33" i="27"/>
  <c r="Y35" i="27"/>
  <c r="G42" i="27"/>
  <c r="Y9" i="27"/>
  <c r="Y11" i="27"/>
  <c r="Y15" i="27"/>
  <c r="Y18" i="27"/>
  <c r="O37" i="27"/>
  <c r="Y14" i="27"/>
  <c r="N37" i="27"/>
  <c r="AE8" i="27"/>
  <c r="AE10" i="27"/>
  <c r="AI10" i="27" s="1"/>
  <c r="AE12" i="27"/>
  <c r="AI12" i="27" s="1"/>
  <c r="AE13" i="27"/>
  <c r="AI13" i="27" s="1"/>
  <c r="AE14" i="27"/>
  <c r="AI14" i="27" s="1"/>
  <c r="AE16" i="27"/>
  <c r="AI16" i="27" s="1"/>
  <c r="S8" i="27"/>
  <c r="Y8" i="27" s="1"/>
  <c r="T9" i="27"/>
  <c r="S10" i="27"/>
  <c r="Y10" i="27" s="1"/>
  <c r="AL10" i="27" s="1"/>
  <c r="AM10" i="27" s="1"/>
  <c r="T11" i="27"/>
  <c r="T13" i="27"/>
  <c r="T15" i="27"/>
  <c r="AM34" i="27"/>
  <c r="AM36" i="27"/>
  <c r="AE23" i="27"/>
  <c r="AI23" i="27" s="1"/>
  <c r="AL23" i="27" s="1"/>
  <c r="AM23" i="27" s="1"/>
  <c r="AL24" i="27"/>
  <c r="AM24" i="27" s="1"/>
  <c r="AE25" i="27"/>
  <c r="AI25" i="27" s="1"/>
  <c r="AL25" i="27" s="1"/>
  <c r="AM25" i="27" s="1"/>
  <c r="AE27" i="27"/>
  <c r="AI27" i="27" s="1"/>
  <c r="AL27" i="27" s="1"/>
  <c r="AM27" i="27" s="1"/>
  <c r="AL28" i="27"/>
  <c r="AM28" i="27" s="1"/>
  <c r="AE29" i="27"/>
  <c r="AI29" i="27" s="1"/>
  <c r="AL29" i="27" s="1"/>
  <c r="AM29" i="27" s="1"/>
  <c r="AE31" i="27"/>
  <c r="AI31" i="27" s="1"/>
  <c r="AL31" i="27" s="1"/>
  <c r="AM31" i="27" s="1"/>
  <c r="AL32" i="27"/>
  <c r="AM32" i="27" s="1"/>
  <c r="AL33" i="27"/>
  <c r="AM33" i="27" s="1"/>
  <c r="AE33" i="27"/>
  <c r="AI33" i="27" s="1"/>
  <c r="AL35" i="27"/>
  <c r="AM35" i="27" s="1"/>
  <c r="AE35" i="27"/>
  <c r="AI35" i="27" s="1"/>
  <c r="T17" i="27"/>
  <c r="S18" i="27"/>
  <c r="T19" i="27"/>
  <c r="Y19" i="27" s="1"/>
  <c r="AK37" i="27" l="1"/>
  <c r="AE48" i="27"/>
  <c r="AE19" i="27"/>
  <c r="AI19" i="27" s="1"/>
  <c r="AL19" i="27" s="1"/>
  <c r="AM19" i="27" s="1"/>
  <c r="AE47" i="27"/>
  <c r="W37" i="27"/>
  <c r="E61" i="27" s="1"/>
  <c r="E88" i="33" s="1"/>
  <c r="P47" i="27"/>
  <c r="U37" i="27"/>
  <c r="E59" i="27" s="1"/>
  <c r="E67" i="33" s="1"/>
  <c r="AE15" i="27"/>
  <c r="AI15" i="27" s="1"/>
  <c r="AE11" i="27"/>
  <c r="AI11" i="27" s="1"/>
  <c r="AL11" i="27" s="1"/>
  <c r="AM11" i="27" s="1"/>
  <c r="AE9" i="27"/>
  <c r="AI9" i="27" s="1"/>
  <c r="P50" i="27"/>
  <c r="P53" i="27" s="1"/>
  <c r="AH37" i="27"/>
  <c r="AE45" i="27"/>
  <c r="AE18" i="27"/>
  <c r="AI18" i="27" s="1"/>
  <c r="AL18" i="27" s="1"/>
  <c r="AM18" i="27" s="1"/>
  <c r="P51" i="27"/>
  <c r="AE17" i="27"/>
  <c r="AI17" i="27" s="1"/>
  <c r="AL17" i="27" s="1"/>
  <c r="AM17" i="27" s="1"/>
  <c r="X37" i="27"/>
  <c r="E62" i="27" s="1"/>
  <c r="E89" i="33" s="1"/>
  <c r="P48" i="27"/>
  <c r="V37" i="27"/>
  <c r="E60" i="27" s="1"/>
  <c r="E68" i="33" s="1"/>
  <c r="AL15" i="27"/>
  <c r="AM15" i="27" s="1"/>
  <c r="AL9" i="27"/>
  <c r="AM9" i="27" s="1"/>
  <c r="Y37" i="27"/>
  <c r="AL14" i="27"/>
  <c r="AM14" i="27" s="1"/>
  <c r="T37" i="27"/>
  <c r="Q43" i="27" s="1"/>
  <c r="Q44" i="27" s="1"/>
  <c r="S37" i="27"/>
  <c r="O40" i="27" s="1"/>
  <c r="O41" i="27" s="1"/>
  <c r="AI8" i="27"/>
  <c r="AL8" i="27" s="1"/>
  <c r="AE37" i="27" l="1"/>
  <c r="AE40" i="27" s="1"/>
  <c r="AE41" i="27" s="1"/>
  <c r="E58" i="27"/>
  <c r="E13" i="33" s="1"/>
  <c r="AL37" i="27"/>
  <c r="AM8" i="27"/>
  <c r="AM37" i="27" s="1"/>
  <c r="AI40" i="27"/>
  <c r="AI41" i="27" s="1"/>
  <c r="AI37" i="27"/>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W26" i="34" s="1"/>
  <c r="AV18" i="34"/>
  <c r="AU18" i="34"/>
  <c r="AT18" i="34"/>
  <c r="AS18" i="34"/>
  <c r="AR18" i="34"/>
  <c r="AQ18" i="34"/>
  <c r="AQ26" i="34" s="1"/>
  <c r="AP18" i="34"/>
  <c r="AO18" i="34"/>
  <c r="AN18" i="34"/>
  <c r="AM18" i="34"/>
  <c r="AL18" i="34"/>
  <c r="AK18" i="34"/>
  <c r="AJ18" i="34"/>
  <c r="AI18" i="34"/>
  <c r="AI26" i="34" s="1"/>
  <c r="AH18" i="34"/>
  <c r="AG18" i="34"/>
  <c r="AG26" i="34" s="1"/>
  <c r="AF18" i="34"/>
  <c r="AE18" i="34"/>
  <c r="AD18" i="34"/>
  <c r="AC18" i="34"/>
  <c r="AB18" i="34"/>
  <c r="AA18" i="34"/>
  <c r="AA26" i="34" s="1"/>
  <c r="Z18" i="34"/>
  <c r="Y18" i="34"/>
  <c r="Y26" i="34" s="1"/>
  <c r="X18" i="34"/>
  <c r="W18" i="34"/>
  <c r="V18" i="34"/>
  <c r="U18" i="34"/>
  <c r="T18" i="34"/>
  <c r="S18" i="34"/>
  <c r="S26" i="34" s="1"/>
  <c r="R18" i="34"/>
  <c r="Q18" i="34"/>
  <c r="P18" i="34"/>
  <c r="O18" i="34"/>
  <c r="N18" i="34"/>
  <c r="M18" i="34"/>
  <c r="L18" i="34"/>
  <c r="K18" i="34"/>
  <c r="K26" i="34" s="1"/>
  <c r="J18" i="34"/>
  <c r="I18" i="34"/>
  <c r="I26" i="34" s="1"/>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AG69" i="33"/>
  <c r="AT65"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E26" i="33" s="1"/>
  <c r="AE28" i="33" s="1"/>
  <c r="AD25" i="33"/>
  <c r="AC25" i="33"/>
  <c r="AB25" i="33"/>
  <c r="AA25" i="33"/>
  <c r="Z25" i="33"/>
  <c r="Y25" i="33"/>
  <c r="X25" i="33"/>
  <c r="W25" i="33"/>
  <c r="V25" i="33"/>
  <c r="U25" i="33"/>
  <c r="T25" i="33"/>
  <c r="S25" i="33"/>
  <c r="R25" i="33"/>
  <c r="Q25" i="33"/>
  <c r="P25" i="33"/>
  <c r="O25" i="33"/>
  <c r="O26" i="33" s="1"/>
  <c r="O28" i="33" s="1"/>
  <c r="AG40" i="33" s="1"/>
  <c r="N25" i="33"/>
  <c r="M25" i="33"/>
  <c r="L25" i="33"/>
  <c r="K25" i="33"/>
  <c r="J25" i="33"/>
  <c r="I25" i="33"/>
  <c r="H25" i="33"/>
  <c r="G25" i="33"/>
  <c r="F25" i="33"/>
  <c r="E25" i="33"/>
  <c r="AW18" i="33"/>
  <c r="AV18" i="33"/>
  <c r="AU18" i="33"/>
  <c r="AT18" i="33"/>
  <c r="AS18" i="33"/>
  <c r="AR18" i="33"/>
  <c r="AQ18" i="33"/>
  <c r="AP18" i="33"/>
  <c r="AP26" i="33" s="1"/>
  <c r="AO18" i="33"/>
  <c r="AN18" i="33"/>
  <c r="AN26" i="33" s="1"/>
  <c r="AN28" i="33" s="1"/>
  <c r="AM18" i="33"/>
  <c r="AL18" i="33"/>
  <c r="AK18" i="33"/>
  <c r="AJ18" i="33"/>
  <c r="AI18" i="33"/>
  <c r="AH18" i="33"/>
  <c r="AH26" i="33" s="1"/>
  <c r="AG18" i="33"/>
  <c r="AF18" i="33"/>
  <c r="AE18" i="33"/>
  <c r="AD18" i="33"/>
  <c r="AC18" i="33"/>
  <c r="AB18" i="33"/>
  <c r="AB26" i="33" s="1"/>
  <c r="AA18" i="33"/>
  <c r="Z18" i="33"/>
  <c r="Y18" i="33"/>
  <c r="X18" i="33"/>
  <c r="W18" i="33"/>
  <c r="V18" i="33"/>
  <c r="U18" i="33"/>
  <c r="T18" i="33"/>
  <c r="S18" i="33"/>
  <c r="R18" i="33"/>
  <c r="R26" i="33" s="1"/>
  <c r="Q18" i="33"/>
  <c r="P18" i="33"/>
  <c r="P26" i="33" s="1"/>
  <c r="O18" i="33"/>
  <c r="N18" i="33"/>
  <c r="M18" i="33"/>
  <c r="L18" i="33"/>
  <c r="K18" i="33"/>
  <c r="J18" i="33"/>
  <c r="J26" i="33" s="1"/>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G7" i="20"/>
  <c r="G6" i="20"/>
  <c r="BB65" i="33" s="1"/>
  <c r="AP12" i="20"/>
  <c r="D34" i="20"/>
  <c r="J65" i="33" l="1"/>
  <c r="S69" i="33"/>
  <c r="F71" i="33"/>
  <c r="AM26" i="33"/>
  <c r="AM28" i="33" s="1"/>
  <c r="E65" i="33"/>
  <c r="AB65" i="33"/>
  <c r="BC67" i="34"/>
  <c r="AZ67" i="34"/>
  <c r="AQ67" i="34"/>
  <c r="AN67" i="34"/>
  <c r="AE67" i="34"/>
  <c r="AB67" i="34"/>
  <c r="S67" i="34"/>
  <c r="P67" i="34"/>
  <c r="G67" i="34"/>
  <c r="W70" i="34"/>
  <c r="K70" i="34"/>
  <c r="M72" i="34"/>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AU30" i="33" s="1"/>
  <c r="I26" i="33"/>
  <c r="I28" i="33" s="1"/>
  <c r="I29" i="33" s="1"/>
  <c r="Q26" i="33"/>
  <c r="Q28" i="33" s="1"/>
  <c r="U26" i="33"/>
  <c r="AC26" i="33"/>
  <c r="AC28" i="33" s="1"/>
  <c r="AG26" i="33"/>
  <c r="AO26" i="33"/>
  <c r="AO28" i="33" s="1"/>
  <c r="AS26" i="33"/>
  <c r="AU26" i="33"/>
  <c r="AW26" i="33"/>
  <c r="AW28" i="33" s="1"/>
  <c r="AW29" i="33" s="1"/>
  <c r="N26" i="33"/>
  <c r="N28" i="33" s="1"/>
  <c r="AQ39" i="33" s="1"/>
  <c r="X26" i="33"/>
  <c r="X28" i="33" s="1"/>
  <c r="AL26" i="33"/>
  <c r="AL28" i="33" s="1"/>
  <c r="F65" i="33"/>
  <c r="W65" i="33"/>
  <c r="AF65" i="33"/>
  <c r="AU65"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P28" i="34" s="1"/>
  <c r="R26" i="34"/>
  <c r="T26" i="34"/>
  <c r="Q67" i="34"/>
  <c r="AC67" i="34"/>
  <c r="AO67" i="34"/>
  <c r="BA67" i="34"/>
  <c r="X71" i="34"/>
  <c r="AD26" i="34"/>
  <c r="AF26" i="34"/>
  <c r="AF28" i="34" s="1"/>
  <c r="AP26" i="34"/>
  <c r="AR26" i="34"/>
  <c r="AR28" i="34" s="1"/>
  <c r="AR29" i="34" s="1"/>
  <c r="AC26" i="34"/>
  <c r="O26" i="34"/>
  <c r="W26" i="34"/>
  <c r="AM26" i="34"/>
  <c r="AM28" i="34" s="1"/>
  <c r="AM29" i="34" s="1"/>
  <c r="AU26" i="34"/>
  <c r="X26" i="34"/>
  <c r="X28" i="34" s="1"/>
  <c r="AN26" i="34"/>
  <c r="AN28" i="34" s="1"/>
  <c r="AX39" i="33"/>
  <c r="Y40" i="33"/>
  <c r="G26" i="33"/>
  <c r="G28" i="33" s="1"/>
  <c r="AS32" i="33" s="1"/>
  <c r="S42" i="33"/>
  <c r="Z42" i="33"/>
  <c r="AY42" i="33"/>
  <c r="AU28" i="33"/>
  <c r="AU29" i="33" s="1"/>
  <c r="BA69" i="34"/>
  <c r="BA69" i="33"/>
  <c r="AO69" i="34"/>
  <c r="AO69" i="33"/>
  <c r="AC69" i="34"/>
  <c r="AC69" i="33"/>
  <c r="Q69" i="34"/>
  <c r="Q69" i="33"/>
  <c r="AX56" i="33"/>
  <c r="AW56"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Z40" i="33"/>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AE2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P40" i="33"/>
  <c r="AO40" i="33"/>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G56" i="33"/>
  <c r="T65" i="33"/>
  <c r="AO65" i="33"/>
  <c r="AF68" i="33"/>
  <c r="J70" i="33"/>
  <c r="AT70" i="33"/>
  <c r="AF71" i="33"/>
  <c r="AB72" i="33"/>
  <c r="R65" i="34"/>
  <c r="AV68" i="34"/>
  <c r="AV69" i="34"/>
  <c r="AW70" i="34"/>
  <c r="BD72" i="34"/>
  <c r="AW69" i="33"/>
  <c r="T26" i="33"/>
  <c r="T28"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Q65" i="33"/>
  <c r="AH56"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R39" i="33"/>
  <c r="V65" i="33"/>
  <c r="AR65" i="33"/>
  <c r="AP68" i="33"/>
  <c r="O69" i="33"/>
  <c r="L70" i="33"/>
  <c r="AV70" i="33"/>
  <c r="AQ71" i="33"/>
  <c r="AM72" i="33"/>
  <c r="AC65" i="34"/>
  <c r="AX68" i="34"/>
  <c r="AY69" i="34"/>
  <c r="AY70" i="34"/>
  <c r="AZ71" i="34"/>
  <c r="AX69" i="34"/>
  <c r="AL69" i="34"/>
  <c r="Z69" i="34"/>
  <c r="N69" i="34"/>
  <c r="C9" i="33"/>
  <c r="V26" i="33"/>
  <c r="AT26" i="33"/>
  <c r="M67" i="33"/>
  <c r="Y67" i="33"/>
  <c r="AK67" i="33"/>
  <c r="AW67" i="33"/>
  <c r="J26" i="34"/>
  <c r="J28" i="34" s="1"/>
  <c r="J29" i="34" s="1"/>
  <c r="V26" i="34"/>
  <c r="AH26" i="34"/>
  <c r="AH28" i="34" s="1"/>
  <c r="AT26" i="34"/>
  <c r="AT28" i="34" s="1"/>
  <c r="AT29" i="34" s="1"/>
  <c r="M26" i="34"/>
  <c r="AK26" i="34"/>
  <c r="F67" i="34"/>
  <c r="R67" i="34"/>
  <c r="AD67" i="34"/>
  <c r="AP67" i="34"/>
  <c r="BB67" i="34"/>
  <c r="AE69" i="33"/>
  <c r="AQ69" i="33"/>
  <c r="BC69" i="33"/>
  <c r="L26" i="34"/>
  <c r="L28" i="34" s="1"/>
  <c r="L29" i="34" s="1"/>
  <c r="AJ26" i="34"/>
  <c r="AJ28" i="34" s="1"/>
  <c r="AJ29" i="34" s="1"/>
  <c r="H67" i="34"/>
  <c r="T67" i="34"/>
  <c r="AF67" i="34"/>
  <c r="AR67" i="34"/>
  <c r="BD67" i="34"/>
  <c r="BD69" i="33"/>
  <c r="I67" i="34"/>
  <c r="U67" i="34"/>
  <c r="AG67" i="34"/>
  <c r="AS67" i="34"/>
  <c r="N26" i="34"/>
  <c r="Z26" i="34"/>
  <c r="Z28" i="34" s="1"/>
  <c r="AL26" i="34"/>
  <c r="AL28" i="34" s="1"/>
  <c r="AL29" i="34" s="1"/>
  <c r="J67" i="34"/>
  <c r="V67" i="34"/>
  <c r="AH67" i="34"/>
  <c r="AT67" i="34"/>
  <c r="AM66" i="34"/>
  <c r="L26" i="33"/>
  <c r="L28" i="33" s="1"/>
  <c r="AJ26" i="33"/>
  <c r="AJ28" i="33" s="1"/>
  <c r="AV26" i="33"/>
  <c r="R67" i="33"/>
  <c r="AD67" i="33"/>
  <c r="AP67" i="33"/>
  <c r="BB67" i="33"/>
  <c r="K67" i="34"/>
  <c r="W67" i="34"/>
  <c r="AI67" i="34"/>
  <c r="AU67" i="34"/>
  <c r="M26" i="33"/>
  <c r="AK26" i="33"/>
  <c r="AK28" i="33" s="1"/>
  <c r="AB26" i="34"/>
  <c r="AB28" i="34" s="1"/>
  <c r="AB29" i="34" s="1"/>
  <c r="AE26" i="34"/>
  <c r="L67" i="34"/>
  <c r="X67" i="34"/>
  <c r="AJ67" i="34"/>
  <c r="AV67" i="34"/>
  <c r="AF69" i="34"/>
  <c r="AS69" i="34"/>
  <c r="Z26" i="33"/>
  <c r="Z28" i="33" s="1"/>
  <c r="Z29" i="33" s="1"/>
  <c r="Q26" i="34"/>
  <c r="Q28" i="34" s="1"/>
  <c r="AO26" i="34"/>
  <c r="M67" i="34"/>
  <c r="Y67" i="34"/>
  <c r="AK67" i="34"/>
  <c r="AW67" i="34"/>
  <c r="G69" i="34"/>
  <c r="T69" i="34"/>
  <c r="AG69" i="34"/>
  <c r="AD26" i="33"/>
  <c r="AD28" i="33" s="1"/>
  <c r="I67" i="33"/>
  <c r="U67" i="33"/>
  <c r="AG67" i="33"/>
  <c r="AS67" i="33"/>
  <c r="U26" i="34"/>
  <c r="AS26" i="34"/>
  <c r="N67" i="34"/>
  <c r="Z67" i="34"/>
  <c r="AL67" i="34"/>
  <c r="AX67" i="34"/>
  <c r="H69" i="34"/>
  <c r="U69" i="34"/>
  <c r="E26" i="34"/>
  <c r="E28" i="34" s="1"/>
  <c r="E29" i="34" s="1"/>
  <c r="G26" i="34"/>
  <c r="G28" i="34" s="1"/>
  <c r="C9" i="34"/>
  <c r="R28" i="34"/>
  <c r="R29" i="34" s="1"/>
  <c r="AP28" i="34"/>
  <c r="U28" i="34"/>
  <c r="U29" i="34" s="1"/>
  <c r="I28" i="34"/>
  <c r="Y28" i="34"/>
  <c r="Y29" i="34" s="1"/>
  <c r="AG28" i="34"/>
  <c r="AO28" i="34"/>
  <c r="AW28" i="34"/>
  <c r="N28" i="34"/>
  <c r="N29" i="34" s="1"/>
  <c r="V28" i="34"/>
  <c r="AD28" i="34"/>
  <c r="AY33" i="34"/>
  <c r="AI33" i="34"/>
  <c r="S33" i="34"/>
  <c r="AZ33" i="34"/>
  <c r="AJ33" i="34"/>
  <c r="T33" i="34"/>
  <c r="BA33" i="34"/>
  <c r="AK33" i="34"/>
  <c r="U33" i="34"/>
  <c r="AT33" i="34"/>
  <c r="AD33" i="34"/>
  <c r="N33" i="34"/>
  <c r="AM33" i="34"/>
  <c r="W33" i="34"/>
  <c r="AV33" i="34"/>
  <c r="AF33" i="34"/>
  <c r="P33" i="34"/>
  <c r="AO33" i="34"/>
  <c r="Y33" i="34"/>
  <c r="I33" i="34"/>
  <c r="AP33" i="34"/>
  <c r="Z33" i="34"/>
  <c r="J33" i="34"/>
  <c r="T28" i="34"/>
  <c r="T29" i="34" s="1"/>
  <c r="O28" i="34"/>
  <c r="O29" i="34" s="1"/>
  <c r="W28" i="34"/>
  <c r="W29" i="34" s="1"/>
  <c r="AE28" i="34"/>
  <c r="AE29" i="34" s="1"/>
  <c r="AU28" i="34"/>
  <c r="AU29" i="34" s="1"/>
  <c r="AS57" i="34"/>
  <c r="BB57" i="34"/>
  <c r="AT57" i="34"/>
  <c r="AL57" i="34"/>
  <c r="BC57" i="34"/>
  <c r="AU57" i="34"/>
  <c r="AM57" i="34"/>
  <c r="BD57" i="34"/>
  <c r="AV57" i="34"/>
  <c r="AN57" i="34"/>
  <c r="AW57" i="34"/>
  <c r="AO57" i="34"/>
  <c r="AG57" i="34"/>
  <c r="AX57" i="34"/>
  <c r="AP57" i="34"/>
  <c r="AH57" i="34"/>
  <c r="AY57" i="34"/>
  <c r="AQ57" i="34"/>
  <c r="AI57" i="34"/>
  <c r="AZ57" i="34"/>
  <c r="AR57" i="34"/>
  <c r="AJ57" i="34"/>
  <c r="BA41" i="34"/>
  <c r="AS41" i="34"/>
  <c r="AK41" i="34"/>
  <c r="AC41" i="34"/>
  <c r="U41" i="34"/>
  <c r="BB41" i="34"/>
  <c r="AT41" i="34"/>
  <c r="AL41" i="34"/>
  <c r="AD41" i="34"/>
  <c r="V41" i="34"/>
  <c r="BC41" i="34"/>
  <c r="AU41" i="34"/>
  <c r="AM41" i="34"/>
  <c r="AE41" i="34"/>
  <c r="W41" i="34"/>
  <c r="BD41" i="34"/>
  <c r="AV41" i="34"/>
  <c r="AN41" i="34"/>
  <c r="AF41" i="34"/>
  <c r="X41" i="34"/>
  <c r="AW41" i="34"/>
  <c r="AO41" i="34"/>
  <c r="AG41" i="34"/>
  <c r="Y41" i="34"/>
  <c r="Q41" i="34"/>
  <c r="AX41" i="34"/>
  <c r="AP41" i="34"/>
  <c r="AH41" i="34"/>
  <c r="Z41" i="34"/>
  <c r="R41" i="34"/>
  <c r="AY41" i="34"/>
  <c r="AQ41" i="34"/>
  <c r="AI41" i="34"/>
  <c r="AA41" i="34"/>
  <c r="S41" i="34"/>
  <c r="AZ41" i="34"/>
  <c r="AR41" i="34"/>
  <c r="AJ41" i="34"/>
  <c r="AB41" i="34"/>
  <c r="T41" i="34"/>
  <c r="M28" i="34"/>
  <c r="M29" i="34" s="1"/>
  <c r="AC28" i="34"/>
  <c r="AC29" i="34" s="1"/>
  <c r="AK28" i="34"/>
  <c r="AK29" i="34" s="1"/>
  <c r="AW49" i="34"/>
  <c r="AO49" i="34"/>
  <c r="AG49" i="34"/>
  <c r="Y49" i="34"/>
  <c r="AX49" i="34"/>
  <c r="AP49" i="34"/>
  <c r="AH49" i="34"/>
  <c r="Z49" i="34"/>
  <c r="AY49" i="34"/>
  <c r="AQ49" i="34"/>
  <c r="AI49" i="34"/>
  <c r="AA49" i="34"/>
  <c r="AZ49" i="34"/>
  <c r="AR49" i="34"/>
  <c r="AJ49" i="34"/>
  <c r="AB49" i="34"/>
  <c r="BA49" i="34"/>
  <c r="AS49" i="34"/>
  <c r="AK49" i="34"/>
  <c r="AC49" i="34"/>
  <c r="BB49" i="34"/>
  <c r="AT49" i="34"/>
  <c r="AL49" i="34"/>
  <c r="AD49" i="34"/>
  <c r="BC49" i="34"/>
  <c r="AU49" i="34"/>
  <c r="AM49" i="34"/>
  <c r="AE49" i="34"/>
  <c r="BD49" i="34"/>
  <c r="AV49" i="34"/>
  <c r="AN49" i="34"/>
  <c r="AF49" i="34"/>
  <c r="H29" i="34"/>
  <c r="P29" i="34"/>
  <c r="X29" i="34"/>
  <c r="AF29" i="34"/>
  <c r="AV29" i="34"/>
  <c r="K28" i="34"/>
  <c r="K29" i="34" s="1"/>
  <c r="S28" i="34"/>
  <c r="S29" i="34" s="1"/>
  <c r="AA28" i="34"/>
  <c r="AI28" i="34"/>
  <c r="AQ28" i="34"/>
  <c r="AQ29" i="34" s="1"/>
  <c r="F26" i="33"/>
  <c r="F28" i="33" s="1"/>
  <c r="AA31" i="33" s="1"/>
  <c r="P28" i="33"/>
  <c r="P29" i="33" s="1"/>
  <c r="AV28" i="33"/>
  <c r="BD54" i="33"/>
  <c r="AV54" i="33"/>
  <c r="AN54" i="33"/>
  <c r="AF54" i="33"/>
  <c r="AW54" i="33"/>
  <c r="AO54" i="33"/>
  <c r="AG54" i="33"/>
  <c r="AX54" i="33"/>
  <c r="AP54" i="33"/>
  <c r="AH54" i="33"/>
  <c r="AY54" i="33"/>
  <c r="AQ54" i="33"/>
  <c r="AI54" i="33"/>
  <c r="BB54" i="33"/>
  <c r="AT54" i="33"/>
  <c r="AL54" i="33"/>
  <c r="AD54" i="33"/>
  <c r="BC54" i="33"/>
  <c r="AU54" i="33"/>
  <c r="AM54" i="33"/>
  <c r="AE54" i="33"/>
  <c r="AK54" i="33"/>
  <c r="AR54" i="33"/>
  <c r="BA54" i="33"/>
  <c r="AZ54" i="33"/>
  <c r="AJ54" i="33"/>
  <c r="AS54" i="33"/>
  <c r="AY37" i="33"/>
  <c r="AQ37" i="33"/>
  <c r="AI37" i="33"/>
  <c r="AA37" i="33"/>
  <c r="S37" i="33"/>
  <c r="AZ37" i="33"/>
  <c r="AR37" i="33"/>
  <c r="AJ37" i="33"/>
  <c r="AB37" i="33"/>
  <c r="T37" i="33"/>
  <c r="BA37" i="33"/>
  <c r="AS37" i="33"/>
  <c r="AK37" i="33"/>
  <c r="AC37" i="33"/>
  <c r="U37" i="33"/>
  <c r="M37" i="33"/>
  <c r="BB37" i="33"/>
  <c r="AT37" i="33"/>
  <c r="AL37" i="33"/>
  <c r="AD37" i="33"/>
  <c r="V37" i="33"/>
  <c r="N37" i="33"/>
  <c r="AW37" i="33"/>
  <c r="AO37" i="33"/>
  <c r="AG37" i="33"/>
  <c r="Y37" i="33"/>
  <c r="Q37" i="33"/>
  <c r="AX37" i="33"/>
  <c r="AP37" i="33"/>
  <c r="AH37" i="33"/>
  <c r="Z37" i="33"/>
  <c r="R37" i="33"/>
  <c r="W37" i="33"/>
  <c r="AF37" i="33"/>
  <c r="AM37" i="33"/>
  <c r="BD37" i="33"/>
  <c r="X37" i="33"/>
  <c r="AE37" i="33"/>
  <c r="AN37" i="33"/>
  <c r="AU37" i="33"/>
  <c r="O37" i="33"/>
  <c r="AV37" i="33"/>
  <c r="P37" i="33"/>
  <c r="BC37" i="33"/>
  <c r="AY31" i="33"/>
  <c r="V31" i="33"/>
  <c r="AB31" i="33"/>
  <c r="L31" i="33"/>
  <c r="AC31" i="33"/>
  <c r="U31" i="33"/>
  <c r="N31" i="33"/>
  <c r="AD31" i="33"/>
  <c r="AX31" i="33"/>
  <c r="AP31" i="33"/>
  <c r="Z31" i="33"/>
  <c r="R31" i="33"/>
  <c r="J31" i="33"/>
  <c r="P31" i="33"/>
  <c r="Q31" i="33"/>
  <c r="AU31" i="33"/>
  <c r="G31" i="33"/>
  <c r="AW31" i="33"/>
  <c r="AE31" i="33"/>
  <c r="X31" i="33"/>
  <c r="Y31" i="33"/>
  <c r="AF31" i="33"/>
  <c r="O31" i="33"/>
  <c r="AM31" i="33"/>
  <c r="AV31" i="33"/>
  <c r="AF28" i="33"/>
  <c r="AF29" i="33" s="1"/>
  <c r="G30" i="33"/>
  <c r="AN30" i="33"/>
  <c r="R30" i="33"/>
  <c r="U30" i="33"/>
  <c r="AJ30" i="33"/>
  <c r="J28" i="33"/>
  <c r="J29" i="33" s="1"/>
  <c r="AP28" i="33"/>
  <c r="AW49" i="33"/>
  <c r="AO49" i="33"/>
  <c r="AG49" i="33"/>
  <c r="Y49" i="33"/>
  <c r="AX49" i="33"/>
  <c r="AP49" i="33"/>
  <c r="AH49" i="33"/>
  <c r="Z49" i="33"/>
  <c r="AY49" i="33"/>
  <c r="AQ49" i="33"/>
  <c r="AI49" i="33"/>
  <c r="AA49" i="33"/>
  <c r="AZ49" i="33"/>
  <c r="AR49" i="33"/>
  <c r="AJ49" i="33"/>
  <c r="AB49" i="33"/>
  <c r="BC49" i="33"/>
  <c r="AU49" i="33"/>
  <c r="AM49" i="33"/>
  <c r="AE49" i="33"/>
  <c r="BD49" i="33"/>
  <c r="AV49" i="33"/>
  <c r="AN49" i="33"/>
  <c r="AF49" i="33"/>
  <c r="BC45" i="33"/>
  <c r="AU45" i="33"/>
  <c r="AM45" i="33"/>
  <c r="AE45" i="33"/>
  <c r="W45" i="33"/>
  <c r="BD45" i="33"/>
  <c r="AV45" i="33"/>
  <c r="AN45" i="33"/>
  <c r="AF45" i="33"/>
  <c r="X45" i="33"/>
  <c r="AW45" i="33"/>
  <c r="AO45" i="33"/>
  <c r="AG45" i="33"/>
  <c r="Y45" i="33"/>
  <c r="AX45" i="33"/>
  <c r="AP45" i="33"/>
  <c r="AH45" i="33"/>
  <c r="Z45" i="33"/>
  <c r="BA45" i="33"/>
  <c r="AS45" i="33"/>
  <c r="AK45" i="33"/>
  <c r="AC45" i="33"/>
  <c r="U45" i="33"/>
  <c r="BB45" i="33"/>
  <c r="AT45" i="33"/>
  <c r="AL45" i="33"/>
  <c r="AD45" i="33"/>
  <c r="V45" i="33"/>
  <c r="AU32" i="33"/>
  <c r="AE32" i="33"/>
  <c r="O32" i="33"/>
  <c r="AV32" i="33"/>
  <c r="AF32" i="33"/>
  <c r="P32" i="33"/>
  <c r="AW32" i="33"/>
  <c r="AG32" i="33"/>
  <c r="I32" i="33"/>
  <c r="AP32" i="33"/>
  <c r="Z32" i="33"/>
  <c r="J32" i="33"/>
  <c r="AL32" i="33"/>
  <c r="V32" i="33"/>
  <c r="R28" i="33"/>
  <c r="BB39" i="33"/>
  <c r="AT39" i="33"/>
  <c r="AL39" i="33"/>
  <c r="AD39" i="33"/>
  <c r="V39" i="33"/>
  <c r="BC39" i="33"/>
  <c r="AU39" i="33"/>
  <c r="AM39" i="33"/>
  <c r="AE39" i="33"/>
  <c r="W39" i="33"/>
  <c r="O39" i="33"/>
  <c r="BD39" i="33"/>
  <c r="AV39" i="33"/>
  <c r="AN39" i="33"/>
  <c r="AF39" i="33"/>
  <c r="X39" i="33"/>
  <c r="P39" i="33"/>
  <c r="AW39" i="33"/>
  <c r="AO39" i="33"/>
  <c r="AG39" i="33"/>
  <c r="Y39" i="33"/>
  <c r="Q39" i="33"/>
  <c r="AZ39" i="33"/>
  <c r="AR39" i="33"/>
  <c r="AJ39" i="33"/>
  <c r="AB39" i="33"/>
  <c r="T39" i="33"/>
  <c r="BA39" i="33"/>
  <c r="AS39" i="33"/>
  <c r="AK39" i="33"/>
  <c r="AC39" i="33"/>
  <c r="U39" i="33"/>
  <c r="BB42" i="33"/>
  <c r="AT42" i="33"/>
  <c r="AL42" i="33"/>
  <c r="AD42" i="33"/>
  <c r="V42" i="33"/>
  <c r="BC42" i="33"/>
  <c r="AU42" i="33"/>
  <c r="AM42" i="33"/>
  <c r="AE42" i="33"/>
  <c r="W42" i="33"/>
  <c r="BD42" i="33"/>
  <c r="AV42" i="33"/>
  <c r="AN42" i="33"/>
  <c r="AF42" i="33"/>
  <c r="X42" i="33"/>
  <c r="AW42" i="33"/>
  <c r="AO42" i="33"/>
  <c r="AG42" i="33"/>
  <c r="Y42" i="33"/>
  <c r="AZ42" i="33"/>
  <c r="AR42" i="33"/>
  <c r="AJ42" i="33"/>
  <c r="AB42" i="33"/>
  <c r="T42" i="33"/>
  <c r="BA42" i="33"/>
  <c r="AS42" i="33"/>
  <c r="AK42" i="33"/>
  <c r="AC42" i="33"/>
  <c r="U42" i="33"/>
  <c r="BA40" i="33"/>
  <c r="AS40" i="33"/>
  <c r="AK40" i="33"/>
  <c r="AC40" i="33"/>
  <c r="U40" i="33"/>
  <c r="BB40" i="33"/>
  <c r="AT40" i="33"/>
  <c r="AL40" i="33"/>
  <c r="AD40" i="33"/>
  <c r="V40" i="33"/>
  <c r="BC40" i="33"/>
  <c r="AU40" i="33"/>
  <c r="AM40" i="33"/>
  <c r="AE40" i="33"/>
  <c r="W40" i="33"/>
  <c r="BD40" i="33"/>
  <c r="AV40" i="33"/>
  <c r="AN40" i="33"/>
  <c r="AF40" i="33"/>
  <c r="X40" i="33"/>
  <c r="P40" i="33"/>
  <c r="AY40" i="33"/>
  <c r="AQ40" i="33"/>
  <c r="AI40" i="33"/>
  <c r="AA40" i="33"/>
  <c r="S40" i="33"/>
  <c r="AZ40" i="33"/>
  <c r="AR40" i="33"/>
  <c r="AJ40" i="33"/>
  <c r="AB40" i="33"/>
  <c r="T40" i="33"/>
  <c r="BA56" i="33"/>
  <c r="AS56" i="33"/>
  <c r="AK56" i="33"/>
  <c r="BB56" i="33"/>
  <c r="AT56" i="33"/>
  <c r="AL56" i="33"/>
  <c r="BC56" i="33"/>
  <c r="AU56" i="33"/>
  <c r="AM56" i="33"/>
  <c r="BD56" i="33"/>
  <c r="AV56" i="33"/>
  <c r="AN56" i="33"/>
  <c r="AF56" i="33"/>
  <c r="AY56" i="33"/>
  <c r="AQ56" i="33"/>
  <c r="AI56" i="33"/>
  <c r="AZ56" i="33"/>
  <c r="AR56" i="33"/>
  <c r="AJ56" i="33"/>
  <c r="U32" i="33"/>
  <c r="AV33" i="33"/>
  <c r="T29" i="33"/>
  <c r="AJ29" i="33"/>
  <c r="P33" i="33"/>
  <c r="S26" i="33"/>
  <c r="AA26" i="33"/>
  <c r="AQ26" i="33"/>
  <c r="AL29" i="33"/>
  <c r="AM33" i="33"/>
  <c r="AA45" i="33"/>
  <c r="BA48" i="33"/>
  <c r="AS28" i="33"/>
  <c r="AS29" i="33" s="1"/>
  <c r="W29" i="33"/>
  <c r="AO29" i="33"/>
  <c r="AI32" i="33"/>
  <c r="I33" i="33"/>
  <c r="AF33" i="33"/>
  <c r="T34" i="33"/>
  <c r="AZ34" i="33"/>
  <c r="AA39" i="33"/>
  <c r="R40" i="33"/>
  <c r="AX40" i="33"/>
  <c r="AI42" i="33"/>
  <c r="AZ45" i="33"/>
  <c r="AT48" i="33"/>
  <c r="AU50" i="33"/>
  <c r="V28" i="33"/>
  <c r="V29" i="33" s="1"/>
  <c r="Q29" i="33"/>
  <c r="AN29" i="33"/>
  <c r="AC32" i="33"/>
  <c r="AE33" i="33"/>
  <c r="S34" i="33"/>
  <c r="Z39" i="33"/>
  <c r="Q40" i="33"/>
  <c r="AW40" i="33"/>
  <c r="AH42" i="33"/>
  <c r="AY45" i="33"/>
  <c r="AS49" i="33"/>
  <c r="AH55" i="33"/>
  <c r="AO56" i="33"/>
  <c r="AW48" i="33"/>
  <c r="AO48" i="33"/>
  <c r="AG48" i="33"/>
  <c r="Y48" i="33"/>
  <c r="AX48" i="33"/>
  <c r="AP48" i="33"/>
  <c r="AH48" i="33"/>
  <c r="Z48" i="33"/>
  <c r="AY48" i="33"/>
  <c r="AQ48" i="33"/>
  <c r="AI48" i="33"/>
  <c r="AA48" i="33"/>
  <c r="AZ48" i="33"/>
  <c r="AR48" i="33"/>
  <c r="AJ48" i="33"/>
  <c r="AB48" i="33"/>
  <c r="BC48" i="33"/>
  <c r="AU48" i="33"/>
  <c r="AM48" i="33"/>
  <c r="AE48" i="33"/>
  <c r="BD48" i="33"/>
  <c r="AV48" i="33"/>
  <c r="AN48" i="33"/>
  <c r="AF48" i="33"/>
  <c r="X48" i="33"/>
  <c r="AU34" i="33"/>
  <c r="AM34" i="33"/>
  <c r="AE34" i="33"/>
  <c r="W34" i="33"/>
  <c r="O34" i="33"/>
  <c r="AV34" i="33"/>
  <c r="AN34" i="33"/>
  <c r="AF34" i="33"/>
  <c r="X34" i="33"/>
  <c r="P34" i="33"/>
  <c r="AW34" i="33"/>
  <c r="AO34" i="33"/>
  <c r="AG34" i="33"/>
  <c r="Y34" i="33"/>
  <c r="Q34" i="33"/>
  <c r="AX34" i="33"/>
  <c r="AP34" i="33"/>
  <c r="AH34" i="33"/>
  <c r="Z34" i="33"/>
  <c r="R34" i="33"/>
  <c r="J34" i="33"/>
  <c r="BA34" i="33"/>
  <c r="AS34" i="33"/>
  <c r="AK34" i="33"/>
  <c r="AC34" i="33"/>
  <c r="U34" i="33"/>
  <c r="M34" i="33"/>
  <c r="BB34" i="33"/>
  <c r="AT34" i="33"/>
  <c r="AL34" i="33"/>
  <c r="AD34" i="33"/>
  <c r="V34" i="33"/>
  <c r="N34" i="33"/>
  <c r="AX50" i="33"/>
  <c r="AP50" i="33"/>
  <c r="AH50" i="33"/>
  <c r="Z50" i="33"/>
  <c r="AY50" i="33"/>
  <c r="AQ50" i="33"/>
  <c r="AI50" i="33"/>
  <c r="AA50" i="33"/>
  <c r="AZ50" i="33"/>
  <c r="AR50" i="33"/>
  <c r="AJ50" i="33"/>
  <c r="AB50" i="33"/>
  <c r="BA50" i="33"/>
  <c r="AS50" i="33"/>
  <c r="AK50" i="33"/>
  <c r="AC50" i="33"/>
  <c r="BD50" i="33"/>
  <c r="AV50" i="33"/>
  <c r="AN50" i="33"/>
  <c r="AF50" i="33"/>
  <c r="AW50" i="33"/>
  <c r="AO50" i="33"/>
  <c r="AG50" i="33"/>
  <c r="X33" i="33"/>
  <c r="AQ45" i="33"/>
  <c r="AK49" i="33"/>
  <c r="AR32" i="33"/>
  <c r="AD49" i="33"/>
  <c r="U28" i="33"/>
  <c r="U29" i="33" s="1"/>
  <c r="AM29" i="33"/>
  <c r="AB32" i="33"/>
  <c r="Y33" i="33"/>
  <c r="L34" i="33"/>
  <c r="AR34" i="33"/>
  <c r="S39" i="33"/>
  <c r="AY39" i="33"/>
  <c r="AA42" i="33"/>
  <c r="AR45" i="33"/>
  <c r="AL48" i="33"/>
  <c r="AL49" i="33"/>
  <c r="AM50" i="33"/>
  <c r="AC29" i="33"/>
  <c r="H29" i="33"/>
  <c r="AQ32" i="33"/>
  <c r="Q33" i="33"/>
  <c r="AU33" i="33"/>
  <c r="AI34" i="33"/>
  <c r="AP39" i="33"/>
  <c r="R42" i="33"/>
  <c r="AX42" i="33"/>
  <c r="AI45" i="33"/>
  <c r="AC48" i="33"/>
  <c r="AC49" i="33"/>
  <c r="AD50" i="33"/>
  <c r="AX55" i="33"/>
  <c r="AB34" i="33"/>
  <c r="AI39" i="33"/>
  <c r="AQ42" i="33"/>
  <c r="AB45" i="33"/>
  <c r="BB48" i="33"/>
  <c r="BB49" i="33"/>
  <c r="BC50" i="33"/>
  <c r="BA49" i="33"/>
  <c r="AY33" i="33"/>
  <c r="AQ33" i="33"/>
  <c r="AI33" i="33"/>
  <c r="AA33" i="33"/>
  <c r="S33" i="33"/>
  <c r="K33" i="33"/>
  <c r="AZ33" i="33"/>
  <c r="AR33" i="33"/>
  <c r="AJ33" i="33"/>
  <c r="AB33" i="33"/>
  <c r="T33" i="33"/>
  <c r="L33" i="33"/>
  <c r="BA33" i="33"/>
  <c r="AK33" i="33"/>
  <c r="AC33" i="33"/>
  <c r="U33" i="33"/>
  <c r="M33" i="33"/>
  <c r="AS33" i="33"/>
  <c r="AT33" i="33"/>
  <c r="AL33" i="33"/>
  <c r="AD33" i="33"/>
  <c r="V33" i="33"/>
  <c r="N33" i="33"/>
  <c r="AW33" i="33"/>
  <c r="AO33" i="33"/>
  <c r="AG33" i="33"/>
  <c r="AX33" i="33"/>
  <c r="AP33" i="33"/>
  <c r="AH33" i="33"/>
  <c r="Z33" i="33"/>
  <c r="R33" i="33"/>
  <c r="J33" i="33"/>
  <c r="AH28" i="33"/>
  <c r="BB55" i="33"/>
  <c r="AT55" i="33"/>
  <c r="AL55" i="33"/>
  <c r="BC55" i="33"/>
  <c r="AU55" i="33"/>
  <c r="AM55" i="33"/>
  <c r="AE55" i="33"/>
  <c r="BD55" i="33"/>
  <c r="AV55" i="33"/>
  <c r="AN55" i="33"/>
  <c r="AF55" i="33"/>
  <c r="AW55" i="33"/>
  <c r="AO55" i="33"/>
  <c r="AG55" i="33"/>
  <c r="AZ55" i="33"/>
  <c r="AR55" i="33"/>
  <c r="AJ55" i="33"/>
  <c r="BA55" i="33"/>
  <c r="AS55" i="33"/>
  <c r="AK55" i="33"/>
  <c r="W33" i="33"/>
  <c r="AJ45" i="33"/>
  <c r="AD48" i="33"/>
  <c r="AK29" i="33"/>
  <c r="L29" i="33"/>
  <c r="AR29" i="33"/>
  <c r="M28" i="33"/>
  <c r="M29" i="33" s="1"/>
  <c r="G29" i="33"/>
  <c r="Y29" i="33"/>
  <c r="AK32" i="33"/>
  <c r="K26" i="33"/>
  <c r="AI26" i="33"/>
  <c r="F29" i="33"/>
  <c r="N29" i="33"/>
  <c r="AD29" i="33"/>
  <c r="AB28" i="33"/>
  <c r="AB29" i="33" s="1"/>
  <c r="AT28" i="33"/>
  <c r="X29" i="33"/>
  <c r="O33" i="33"/>
  <c r="AA34" i="33"/>
  <c r="AH39" i="33"/>
  <c r="AP42" i="33"/>
  <c r="BB50" i="33"/>
  <c r="AP55" i="33"/>
  <c r="AT49" i="33"/>
  <c r="AI55" i="33"/>
  <c r="AP56" i="33"/>
  <c r="AQ12" i="20"/>
  <c r="BF12" i="20"/>
  <c r="BD12" i="20"/>
  <c r="D78" i="20"/>
  <c r="B31" i="20" s="1"/>
  <c r="BG12" i="20"/>
  <c r="BE12" i="20"/>
  <c r="BC12" i="20"/>
  <c r="BA12" i="20"/>
  <c r="AY12" i="20"/>
  <c r="AW12" i="20"/>
  <c r="AU12" i="20"/>
  <c r="AS12" i="20"/>
  <c r="BB12" i="20"/>
  <c r="AZ12" i="20"/>
  <c r="AX12" i="20"/>
  <c r="AV12" i="20"/>
  <c r="AT12" i="20"/>
  <c r="AR12" i="20"/>
  <c r="AI31" i="33" l="1"/>
  <c r="T31" i="33"/>
  <c r="AR31" i="33"/>
  <c r="AK31" i="33"/>
  <c r="AQ31" i="33"/>
  <c r="BA57" i="34"/>
  <c r="AK57" i="34"/>
  <c r="AQ33" i="34"/>
  <c r="AA33" i="34"/>
  <c r="K33" i="34"/>
  <c r="AR33" i="34"/>
  <c r="AB33" i="34"/>
  <c r="L33" i="34"/>
  <c r="AS33" i="34"/>
  <c r="AC33" i="34"/>
  <c r="M33" i="34"/>
  <c r="AL33" i="34"/>
  <c r="V33" i="34"/>
  <c r="AU33" i="34"/>
  <c r="AE33" i="34"/>
  <c r="O33" i="34"/>
  <c r="AN33" i="34"/>
  <c r="X33" i="34"/>
  <c r="AW33" i="34"/>
  <c r="AG33" i="34"/>
  <c r="Q33" i="34"/>
  <c r="AX33" i="34"/>
  <c r="AH33" i="34"/>
  <c r="R33" i="34"/>
  <c r="AG28" i="33"/>
  <c r="AG29" i="33"/>
  <c r="AQ30" i="33"/>
  <c r="AA30" i="33"/>
  <c r="V30" i="33"/>
  <c r="H30" i="33"/>
  <c r="AP30" i="33"/>
  <c r="AM30" i="33"/>
  <c r="AX30" i="33"/>
  <c r="AK30" i="33"/>
  <c r="L30" i="33"/>
  <c r="AC30" i="33"/>
  <c r="F30" i="33"/>
  <c r="F60" i="33" s="1"/>
  <c r="AL30" i="33"/>
  <c r="AG30" i="33"/>
  <c r="X30" i="33"/>
  <c r="Z30" i="33"/>
  <c r="Y30" i="33"/>
  <c r="W30" i="33"/>
  <c r="E62" i="33"/>
  <c r="F61" i="33" s="1"/>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J60" i="33" s="1"/>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AW66" i="34"/>
  <c r="AW76" i="34" s="1"/>
  <c r="AW66" i="33"/>
  <c r="AW76" i="33" s="1"/>
  <c r="BD66" i="33"/>
  <c r="BD76" i="33" s="1"/>
  <c r="BD66" i="34"/>
  <c r="AY66" i="34"/>
  <c r="AY66" i="33"/>
  <c r="AY76" i="33" s="1"/>
  <c r="AM76" i="34"/>
  <c r="BA66" i="33"/>
  <c r="BA76" i="33" s="1"/>
  <c r="BA66" i="34"/>
  <c r="AN31" i="33"/>
  <c r="AO31" i="33"/>
  <c r="AL31" i="33"/>
  <c r="M31" i="33"/>
  <c r="AY76" i="34"/>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BA76" i="34"/>
  <c r="AN66" i="34"/>
  <c r="AN76" i="34" s="1"/>
  <c r="AN66" i="33"/>
  <c r="AN76" i="33" s="1"/>
  <c r="AQ66" i="34"/>
  <c r="AQ76" i="34" s="1"/>
  <c r="AQ66" i="33"/>
  <c r="AQ76" i="33" s="1"/>
  <c r="AV66" i="34"/>
  <c r="AV76" i="34" s="1"/>
  <c r="AV66" i="33"/>
  <c r="AV76" i="33" s="1"/>
  <c r="BD76" i="34"/>
  <c r="BC66" i="33"/>
  <c r="BC76" i="33" s="1"/>
  <c r="BC66" i="34"/>
  <c r="BC76" i="34" s="1"/>
  <c r="BB76" i="34"/>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G60" i="33"/>
  <c r="D35" i="20"/>
  <c r="D36" i="20" s="1"/>
  <c r="D37" i="20" s="1"/>
  <c r="D38" i="20" s="1"/>
  <c r="D39" i="20" s="1"/>
  <c r="D40" i="20" s="1"/>
  <c r="AI58" i="33" l="1"/>
  <c r="AQ58" i="33"/>
  <c r="AH58" i="33"/>
  <c r="AP58" i="33"/>
  <c r="BB58" i="33"/>
  <c r="AL58" i="33"/>
  <c r="AU58" i="33"/>
  <c r="BD58" i="33"/>
  <c r="AN58" i="33"/>
  <c r="AO58" i="33"/>
  <c r="AR58" i="33"/>
  <c r="BA58" i="33"/>
  <c r="AK58" i="33"/>
  <c r="AX58" i="33"/>
  <c r="AY58" i="33"/>
  <c r="AT58" i="33"/>
  <c r="BC58" i="33"/>
  <c r="AM58" i="33"/>
  <c r="AV58" i="33"/>
  <c r="AW58" i="33"/>
  <c r="AZ58" i="33"/>
  <c r="AJ58" i="33"/>
  <c r="AS58" i="33"/>
  <c r="E63" i="33"/>
  <c r="E64" i="33" s="1"/>
  <c r="F62" i="33"/>
  <c r="G61" i="33" s="1"/>
  <c r="G62" i="33" s="1"/>
  <c r="H61" i="33" s="1"/>
  <c r="I60" i="33"/>
  <c r="H60" i="33"/>
  <c r="K60" i="33"/>
  <c r="BA60" i="34"/>
  <c r="G60" i="34"/>
  <c r="AJ60" i="34"/>
  <c r="R60" i="34"/>
  <c r="AC60" i="34"/>
  <c r="K60" i="34"/>
  <c r="AH60" i="34"/>
  <c r="AW60" i="34"/>
  <c r="O60" i="34"/>
  <c r="BC60" i="34"/>
  <c r="U60" i="34"/>
  <c r="AR60" i="34"/>
  <c r="Z60" i="34"/>
  <c r="AO60" i="34"/>
  <c r="E63" i="34"/>
  <c r="E64" i="34" s="1"/>
  <c r="F61" i="34"/>
  <c r="BB60" i="34"/>
  <c r="AT60" i="34"/>
  <c r="AB60" i="34"/>
  <c r="J60" i="34"/>
  <c r="Y60" i="34"/>
  <c r="AN60" i="34"/>
  <c r="BD60" i="34"/>
  <c r="AL60" i="34"/>
  <c r="T60" i="34"/>
  <c r="AQ60" i="34"/>
  <c r="Q60" i="34"/>
  <c r="AF60" i="34"/>
  <c r="AU60" i="34"/>
  <c r="AY60" i="34"/>
  <c r="AD60" i="34"/>
  <c r="L60" i="34"/>
  <c r="AI60" i="34"/>
  <c r="I60" i="34"/>
  <c r="X60" i="34"/>
  <c r="AM60" i="34"/>
  <c r="M60" i="34"/>
  <c r="AV60" i="34"/>
  <c r="AZ60" i="34"/>
  <c r="V60" i="34"/>
  <c r="AS60" i="34"/>
  <c r="AA60" i="34"/>
  <c r="AX60" i="34"/>
  <c r="P60" i="34"/>
  <c r="AE60" i="34"/>
  <c r="AG60" i="34"/>
  <c r="N60" i="34"/>
  <c r="AK60" i="34"/>
  <c r="S60" i="34"/>
  <c r="AP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X60" i="33" s="1"/>
  <c r="P36" i="33"/>
  <c r="P60" i="33" s="1"/>
  <c r="AW36" i="33"/>
  <c r="AW60" i="33" s="1"/>
  <c r="AO36" i="33"/>
  <c r="AG36" i="33"/>
  <c r="AG60" i="33" s="1"/>
  <c r="Y36" i="33"/>
  <c r="Q36" i="33"/>
  <c r="Q60" i="33" s="1"/>
  <c r="AX36" i="33"/>
  <c r="AP36" i="33"/>
  <c r="AH36" i="33"/>
  <c r="Z36" i="33"/>
  <c r="R36" i="33"/>
  <c r="R60" i="33" s="1"/>
  <c r="BA36" i="33"/>
  <c r="AS36" i="33"/>
  <c r="AK36" i="33"/>
  <c r="AK60" i="33" s="1"/>
  <c r="AC36" i="33"/>
  <c r="U36" i="33"/>
  <c r="M36" i="33"/>
  <c r="M60" i="33" s="1"/>
  <c r="BB36" i="33"/>
  <c r="AT36" i="33"/>
  <c r="AL36" i="33"/>
  <c r="AD36" i="33"/>
  <c r="V36" i="33"/>
  <c r="V60" i="33" s="1"/>
  <c r="N36" i="33"/>
  <c r="N60" i="33" s="1"/>
  <c r="AJ36" i="33"/>
  <c r="AQ36" i="33"/>
  <c r="AZ36" i="33"/>
  <c r="T36" i="33"/>
  <c r="AR36" i="33"/>
  <c r="AR60" i="33" s="1"/>
  <c r="AY36" i="33"/>
  <c r="AA36" i="33"/>
  <c r="AA60" i="33" s="1"/>
  <c r="AB36" i="33"/>
  <c r="AI36" i="33"/>
  <c r="L36" i="33"/>
  <c r="L60" i="33" s="1"/>
  <c r="S36" i="33"/>
  <c r="S60" i="33" s="1"/>
  <c r="AA29" i="33"/>
  <c r="D41" i="20"/>
  <c r="H12" i="20"/>
  <c r="AB60" i="33" l="1"/>
  <c r="AS60" i="33"/>
  <c r="AX60" i="33"/>
  <c r="F63" i="33"/>
  <c r="F64" i="33" s="1"/>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I77" i="34" s="1"/>
  <c r="I80" i="34" s="1"/>
  <c r="J62" i="34"/>
  <c r="K61" i="34" s="1"/>
  <c r="K63" i="33"/>
  <c r="K64" i="33" s="1"/>
  <c r="L62" i="33"/>
  <c r="M61" i="33" s="1"/>
  <c r="D46" i="20"/>
  <c r="M12" i="20"/>
  <c r="I81" i="34" l="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L77" i="34" s="1"/>
  <c r="L80" i="34" s="1"/>
  <c r="M62" i="34"/>
  <c r="N61" i="34" s="1"/>
  <c r="N63" i="33"/>
  <c r="N64" i="33" s="1"/>
  <c r="O62" i="33"/>
  <c r="P61" i="33" s="1"/>
  <c r="D49" i="20"/>
  <c r="P12" i="20"/>
  <c r="L81" i="34" l="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S77" i="34" s="1"/>
  <c r="S80" i="34" s="1"/>
  <c r="T62" i="34"/>
  <c r="U61" i="34" s="1"/>
  <c r="V62" i="33"/>
  <c r="W61" i="33" s="1"/>
  <c r="D56" i="20"/>
  <c r="W12" i="20"/>
  <c r="S81" i="34" l="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B77" i="34" s="1"/>
  <c r="AB80" i="34" s="1"/>
  <c r="AC62" i="34"/>
  <c r="AD61" i="34" s="1"/>
  <c r="AE62" i="33"/>
  <c r="AF61" i="33" s="1"/>
  <c r="D65" i="20"/>
  <c r="AF12" i="20"/>
  <c r="AC63" i="34" l="1"/>
  <c r="AC64" i="34" s="1"/>
  <c r="AE63" i="33"/>
  <c r="AE64" i="33" s="1"/>
  <c r="AC66" i="33"/>
  <c r="AC76" i="33" s="1"/>
  <c r="AC77" i="33" s="1"/>
  <c r="AC80" i="33" s="1"/>
  <c r="AC81" i="33" s="1"/>
  <c r="AC66" i="34"/>
  <c r="AC76" i="34" s="1"/>
  <c r="AB81" i="34"/>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R62" i="34"/>
  <c r="AS61" i="34" s="1"/>
  <c r="AT62" i="33"/>
  <c r="AU61" i="33" s="1"/>
  <c r="AQ81" i="34" l="1"/>
  <c r="C6" i="34" s="1"/>
  <c r="I29" i="29" s="1"/>
  <c r="AR63" i="34"/>
  <c r="AR64" i="34" s="1"/>
  <c r="AR77" i="34" s="1"/>
  <c r="AR80" i="34" s="1"/>
  <c r="AS62" i="34"/>
  <c r="AT61" i="34" s="1"/>
  <c r="AT63" i="33"/>
  <c r="AT64" i="33" s="1"/>
  <c r="AT77" i="33" s="1"/>
  <c r="AT80" i="33" s="1"/>
  <c r="AT81" i="33" s="1"/>
  <c r="AU62" i="33"/>
  <c r="AV61" i="33" s="1"/>
  <c r="AR81" i="34" l="1"/>
  <c r="AU63" i="33"/>
  <c r="AU64" i="33" s="1"/>
  <c r="AU77" i="33" s="1"/>
  <c r="AU80" i="33" s="1"/>
  <c r="AU81" i="33" s="1"/>
  <c r="AS63" i="34"/>
  <c r="AS64" i="34" s="1"/>
  <c r="AS77" i="34" s="1"/>
  <c r="AS80" i="34" s="1"/>
  <c r="AT62" i="34"/>
  <c r="AU61" i="34" s="1"/>
  <c r="AV62" i="33"/>
  <c r="AW61" i="33" s="1"/>
  <c r="AS81" i="34" l="1"/>
  <c r="AT63" i="34"/>
  <c r="AT64" i="34" s="1"/>
  <c r="AT77" i="34" s="1"/>
  <c r="AT80" i="34" s="1"/>
  <c r="AV63" i="33"/>
  <c r="AV64" i="33" s="1"/>
  <c r="AV77" i="33" s="1"/>
  <c r="AV80" i="33" s="1"/>
  <c r="AV81" i="33" s="1"/>
  <c r="AU62" i="34"/>
  <c r="AV61" i="34" s="1"/>
  <c r="AW62" i="33"/>
  <c r="AX61" i="33" s="1"/>
  <c r="AT81" i="34" l="1"/>
  <c r="AW63" i="33"/>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authors>
    <author>Stirling, Graham</author>
  </authors>
  <commentList>
    <comment ref="R1" authorId="0">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comments2.xml><?xml version="1.0" encoding="utf-8"?>
<comments xmlns="http://schemas.openxmlformats.org/spreadsheetml/2006/main">
  <authors>
    <author>Stirling, Graham</author>
    <author>Williams, Rhys (Future Networks)</author>
  </authors>
  <commentList>
    <comment ref="T1" authorId="0">
      <text>
        <r>
          <rPr>
            <b/>
            <sz val="9"/>
            <color indexed="81"/>
            <rFont val="Tahoma"/>
            <family val="2"/>
          </rPr>
          <t>Stirling, Graham:</t>
        </r>
        <r>
          <rPr>
            <sz val="9"/>
            <color indexed="81"/>
            <rFont val="Tahoma"/>
            <family val="2"/>
          </rPr>
          <t xml:space="preserve">
Advice from Geny desk. A geny will trip every 50 to 60 days.</t>
        </r>
      </text>
    </comment>
    <comment ref="AQ20" authorId="1">
      <text>
        <r>
          <rPr>
            <b/>
            <sz val="9"/>
            <color indexed="81"/>
            <rFont val="Tahoma"/>
            <family val="2"/>
          </rPr>
          <t>Williams, Rhys (Future Networks):</t>
        </r>
        <r>
          <rPr>
            <sz val="9"/>
            <color indexed="81"/>
            <rFont val="Tahoma"/>
            <family val="2"/>
          </rPr>
          <t xml:space="preserve">
New live line harvester purchased in July</t>
        </r>
      </text>
    </comment>
    <comment ref="P23" authorId="0">
      <text>
        <r>
          <rPr>
            <b/>
            <sz val="9"/>
            <color indexed="81"/>
            <rFont val="Tahoma"/>
            <family val="2"/>
          </rPr>
          <t>Stirling, Graham:</t>
        </r>
        <r>
          <rPr>
            <sz val="9"/>
            <color indexed="81"/>
            <rFont val="Tahoma"/>
            <family val="2"/>
          </rPr>
          <t xml:space="preserve">
HV set on standby
</t>
        </r>
      </text>
    </comment>
  </commentList>
</comments>
</file>

<file path=xl/comments3.xml><?xml version="1.0" encoding="utf-8"?>
<comments xmlns="http://schemas.openxmlformats.org/spreadsheetml/2006/main">
  <authors>
    <author>Stirling, Graham</author>
  </authors>
  <commentList>
    <comment ref="U1" authorId="0">
      <text>
        <r>
          <rPr>
            <b/>
            <sz val="9"/>
            <color indexed="81"/>
            <rFont val="Tahoma"/>
            <family val="2"/>
          </rPr>
          <t>Stirling, Graham:</t>
        </r>
        <r>
          <rPr>
            <sz val="9"/>
            <color indexed="81"/>
            <rFont val="Tahoma"/>
            <family val="2"/>
          </rPr>
          <t xml:space="preserve">
Advice from Geny desk. A geny will trip every 50 to 60 days.</t>
        </r>
      </text>
    </comment>
    <comment ref="M36" authorId="0">
      <text>
        <r>
          <rPr>
            <b/>
            <sz val="9"/>
            <color indexed="81"/>
            <rFont val="Tahoma"/>
            <family val="2"/>
          </rPr>
          <t>Stirling, Graham:</t>
        </r>
        <r>
          <rPr>
            <sz val="9"/>
            <color indexed="81"/>
            <rFont val="Tahoma"/>
            <family val="2"/>
          </rPr>
          <t xml:space="preserve">
3 windfarms only
</t>
        </r>
      </text>
    </comment>
    <comment ref="M50" authorId="0">
      <text>
        <r>
          <rPr>
            <b/>
            <sz val="9"/>
            <color indexed="81"/>
            <rFont val="Tahoma"/>
            <family val="2"/>
          </rPr>
          <t>Stirling, Graham:</t>
        </r>
        <r>
          <rPr>
            <sz val="9"/>
            <color indexed="81"/>
            <rFont val="Tahoma"/>
            <family val="2"/>
          </rPr>
          <t xml:space="preserve">
WindfarmCustome on 33kv. 11kv cut live due to proximity.</t>
        </r>
      </text>
    </comment>
  </commentList>
</comments>
</file>

<file path=xl/comments4.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5.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6.xml><?xml version="1.0" encoding="utf-8"?>
<comments xmlns="http://schemas.openxmlformats.org/spreadsheetml/2006/main">
  <authors>
    <author>Stirling, Graham</author>
  </authors>
  <commentList>
    <comment ref="R1" authorId="0">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comments7.xml><?xml version="1.0" encoding="utf-8"?>
<comments xmlns="http://schemas.openxmlformats.org/spreadsheetml/2006/main">
  <authors>
    <author>Stirling, Graham</author>
    <author>Williams, Rhys (Future Networks)</author>
  </authors>
  <commentList>
    <comment ref="T1" authorId="0">
      <text>
        <r>
          <rPr>
            <b/>
            <sz val="9"/>
            <color indexed="81"/>
            <rFont val="Tahoma"/>
            <family val="2"/>
          </rPr>
          <t>Stirling, Graham:</t>
        </r>
        <r>
          <rPr>
            <sz val="9"/>
            <color indexed="81"/>
            <rFont val="Tahoma"/>
            <family val="2"/>
          </rPr>
          <t xml:space="preserve">
Advice from Geny desk. A geny will trip every 50 to 60 days.</t>
        </r>
      </text>
    </comment>
    <comment ref="AQ20" authorId="1">
      <text>
        <r>
          <rPr>
            <b/>
            <sz val="9"/>
            <color indexed="81"/>
            <rFont val="Tahoma"/>
            <family val="2"/>
          </rPr>
          <t>Williams, Rhys (Future Networks):</t>
        </r>
        <r>
          <rPr>
            <sz val="9"/>
            <color indexed="81"/>
            <rFont val="Tahoma"/>
            <family val="2"/>
          </rPr>
          <t xml:space="preserve">
New live line harvester purchased in July</t>
        </r>
      </text>
    </comment>
    <comment ref="P23" authorId="0">
      <text>
        <r>
          <rPr>
            <b/>
            <sz val="9"/>
            <color indexed="81"/>
            <rFont val="Tahoma"/>
            <family val="2"/>
          </rPr>
          <t>Stirling, Graham:</t>
        </r>
        <r>
          <rPr>
            <sz val="9"/>
            <color indexed="81"/>
            <rFont val="Tahoma"/>
            <family val="2"/>
          </rPr>
          <t xml:space="preserve">
HV set on standby
</t>
        </r>
      </text>
    </comment>
  </commentList>
</comments>
</file>

<file path=xl/comments8.xml><?xml version="1.0" encoding="utf-8"?>
<comments xmlns="http://schemas.openxmlformats.org/spreadsheetml/2006/main">
  <authors>
    <author>Stirling, Graham</author>
  </authors>
  <commentList>
    <comment ref="U1" authorId="0">
      <text>
        <r>
          <rPr>
            <b/>
            <sz val="9"/>
            <color indexed="81"/>
            <rFont val="Tahoma"/>
            <family val="2"/>
          </rPr>
          <t>Stirling, Graham:</t>
        </r>
        <r>
          <rPr>
            <sz val="9"/>
            <color indexed="81"/>
            <rFont val="Tahoma"/>
            <family val="2"/>
          </rPr>
          <t xml:space="preserve">
Advice from Geny desk. A geny will trip every 50 to 60 days.</t>
        </r>
      </text>
    </comment>
    <comment ref="M36" authorId="0">
      <text>
        <r>
          <rPr>
            <b/>
            <sz val="9"/>
            <color indexed="81"/>
            <rFont val="Tahoma"/>
            <family val="2"/>
          </rPr>
          <t>Stirling, Graham:</t>
        </r>
        <r>
          <rPr>
            <sz val="9"/>
            <color indexed="81"/>
            <rFont val="Tahoma"/>
            <family val="2"/>
          </rPr>
          <t xml:space="preserve">
3 windfarms only
</t>
        </r>
      </text>
    </comment>
    <comment ref="M50" authorId="0">
      <text>
        <r>
          <rPr>
            <b/>
            <sz val="9"/>
            <color indexed="81"/>
            <rFont val="Tahoma"/>
            <family val="2"/>
          </rPr>
          <t>Stirling, Graham:</t>
        </r>
        <r>
          <rPr>
            <sz val="9"/>
            <color indexed="81"/>
            <rFont val="Tahoma"/>
            <family val="2"/>
          </rPr>
          <t xml:space="preserve">
WindfarmCustome on 33kv. 11kv cut live due to proximity.</t>
        </r>
      </text>
    </comment>
  </commentList>
</comments>
</file>

<file path=xl/sharedStrings.xml><?xml version="1.0" encoding="utf-8"?>
<sst xmlns="http://schemas.openxmlformats.org/spreadsheetml/2006/main" count="1894" uniqueCount="587">
  <si>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</si>
  <si>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</si>
  <si>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</si>
  <si>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</si>
  <si>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</si>
  <si>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</si>
  <si>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</si>
  <si>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</si>
  <si>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</si>
  <si>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</si>
  <si>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</si>
  <si>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</si>
  <si>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</si>
  <si>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</si>
  <si>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</si>
  <si>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</si>
  <si>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</si>
  <si>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</si>
  <si>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</si>
  <si>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</si>
  <si>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</si>
  <si>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</si>
  <si>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</si>
  <si>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</si>
  <si>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</si>
  <si>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</si>
  <si>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</si>
  <si>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</si>
  <si>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</si>
  <si>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</si>
  <si>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</si>
  <si>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</si>
  <si>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</si>
  <si>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</si>
  <si>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</si>
  <si>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</si>
  <si>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</si>
  <si>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</si>
  <si>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</si>
  <si>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</si>
  <si>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</si>
  <si>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</si>
  <si>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</si>
  <si>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</si>
  <si>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</si>
  <si>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</si>
  <si>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</si>
  <si>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</si>
  <si>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</si>
  <si>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</si>
  <si>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</si>
  <si>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</si>
  <si>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</si>
  <si>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</si>
  <si>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</si>
  <si>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</si>
  <si>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</si>
  <si>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</si>
  <si>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</si>
  <si>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</si>
  <si>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</si>
  <si>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</si>
  <si>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</si>
  <si>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</si>
  <si>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</si>
  <si>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</si>
  <si>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</si>
  <si>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</si>
  <si>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</si>
  <si>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</si>
  <si>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</si>
  <si>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</si>
  <si>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</si>
  <si>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</si>
  <si>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</si>
  <si>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</si>
  <si>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</si>
  <si>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</si>
  <si>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</si>
  <si>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</si>
  <si>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</si>
  <si>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</si>
  <si>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</si>
  <si>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</si>
  <si>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</si>
  <si>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</si>
  <si>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</si>
  <si>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</si>
  <si>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</si>
  <si>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</si>
  <si>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</si>
  <si>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</si>
  <si>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</si>
  <si>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</si>
  <si>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</si>
  <si>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</si>
  <si>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</si>
  <si>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</si>
  <si>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</si>
  <si>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</si>
  <si>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</si>
  <si>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</si>
  <si>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</si>
  <si>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</si>
  <si>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</si>
  <si>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</si>
  <si>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</si>
  <si>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</si>
  <si>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</si>
  <si>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</si>
  <si>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</si>
  <si>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</si>
  <si>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</si>
  <si>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</si>
  <si>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</si>
  <si>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</si>
  <si>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</si>
  <si>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</si>
  <si>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</si>
  <si>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</si>
  <si>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</si>
  <si>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</si>
  <si>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</si>
  <si>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</si>
  <si>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</si>
  <si>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</si>
  <si>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</si>
  <si>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</si>
  <si>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</si>
  <si>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</si>
  <si>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</si>
  <si>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</si>
  <si>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</si>
  <si>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</si>
  <si>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</si>
  <si>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</si>
  <si>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</si>
  <si>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</si>
  <si>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</si>
  <si>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</si>
  <si>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</si>
  <si>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</si>
  <si>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</si>
  <si>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</si>
  <si>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</si>
  <si>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</si>
  <si>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</si>
  <si>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</si>
  <si>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</si>
  <si>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</si>
  <si>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</si>
  <si>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</si>
  <si>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</si>
  <si>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</si>
  <si>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</si>
  <si>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</si>
  <si>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</si>
  <si>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</si>
  <si>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</si>
  <si>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</si>
  <si>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</si>
  <si>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</si>
  <si>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</si>
  <si>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</si>
  <si>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</si>
  <si>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</si>
  <si>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</si>
  <si>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</si>
  <si>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</si>
  <si>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</si>
  <si>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</si>
  <si>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</si>
  <si>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</si>
  <si>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</si>
  <si>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</si>
  <si>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</si>
  <si>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</si>
  <si>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</si>
  <si>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</si>
  <si>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</si>
  <si>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</si>
  <si>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</si>
  <si>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</si>
  <si>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</si>
  <si>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</si>
  <si>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</si>
  <si>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</si>
  <si>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</si>
  <si>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</si>
  <si>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</si>
  <si>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</si>
  <si>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</si>
  <si>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</si>
  <si>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</si>
  <si>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</si>
  <si>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</si>
  <si>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</si>
  <si>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</si>
  <si>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</si>
  <si>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</si>
  <si>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</si>
  <si>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</si>
  <si>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</si>
  <si>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</si>
  <si>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</si>
  <si>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</si>
  <si>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</si>
  <si>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</si>
  <si>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</si>
  <si>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</si>
  <si>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</si>
  <si>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</si>
  <si>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</si>
  <si>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</si>
  <si>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</si>
  <si>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</si>
  <si>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</si>
  <si>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</si>
  <si>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</si>
  <si>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</si>
  <si>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</si>
  <si>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</si>
  <si>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</si>
  <si>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</si>
  <si>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</si>
  <si>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</si>
  <si>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</si>
  <si>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</si>
  <si>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</si>
  <si>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</si>
  <si>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</si>
  <si>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</si>
  <si>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</si>
  <si>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</si>
  <si>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</si>
  <si>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</si>
  <si>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</si>
  <si>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</si>
  <si>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</si>
  <si>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</si>
  <si>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</si>
  <si>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</si>
  <si>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</si>
  <si>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</si>
  <si>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</si>
  <si>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</si>
  <si>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</si>
  <si>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</si>
  <si>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</si>
  <si>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</si>
  <si>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</si>
  <si>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</si>
  <si>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</si>
  <si>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</si>
  <si>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</si>
  <si>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</si>
  <si>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</si>
  <si>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</si>
  <si>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</si>
  <si>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</si>
  <si>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</si>
  <si>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</si>
  <si>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</si>
  <si>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</si>
  <si>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</si>
  <si>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</si>
  <si>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</si>
  <si>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</si>
  <si>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</si>
  <si>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</si>
  <si>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</si>
  <si>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</si>
  <si>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</si>
  <si>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</si>
  <si>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</si>
  <si>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</si>
  <si>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</si>
  <si>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</si>
  <si>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</si>
  <si>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</si>
  <si>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</si>
  <si>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</si>
  <si>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</si>
  <si>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</si>
  <si>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</si>
  <si>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</si>
  <si>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</si>
  <si>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</si>
  <si>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</si>
  <si>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</si>
  <si>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</si>
  <si>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</si>
  <si>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</si>
  <si>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</si>
  <si>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</si>
  <si>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</si>
  <si>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</si>
  <si>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</si>
  <si>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</si>
  <si>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</si>
  <si>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</si>
  <si>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</si>
  <si>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</si>
  <si>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</si>
  <si>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</si>
  <si>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</si>
  <si>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</si>
  <si>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</si>
  <si>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</si>
  <si>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</si>
  <si>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</si>
  <si>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</si>
  <si>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</si>
  <si>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</si>
  <si>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</si>
  <si>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</si>
  <si>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</si>
  <si>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</si>
  <si>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</si>
  <si>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</si>
  <si>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</si>
  <si>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</si>
  <si>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</si>
  <si>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</si>
  <si>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</si>
  <si>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</si>
  <si>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</si>
  <si>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</si>
  <si>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</si>
  <si>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</si>
  <si>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</si>
  <si>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</si>
  <si>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</si>
  <si>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</si>
  <si>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</si>
  <si>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</si>
  <si>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</si>
  <si>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</si>
  <si>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</si>
  <si>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</si>
  <si>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</si>
  <si>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</si>
  <si>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</si>
  <si>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t>Option 1 (Baseline)</t>
  </si>
  <si>
    <t>Option 2</t>
  </si>
  <si>
    <t>Days to geny trip</t>
  </si>
  <si>
    <t>Planned Outage</t>
  </si>
  <si>
    <t>Duration of genny trip</t>
  </si>
  <si>
    <t>Unplanned Outage</t>
  </si>
  <si>
    <t>BOLD RED = ESTIMATE</t>
  </si>
  <si>
    <t>CI</t>
  </si>
  <si>
    <t>Staff cost</t>
  </si>
  <si>
    <t>CHL</t>
  </si>
  <si>
    <t>Live Line Harvesting</t>
  </si>
  <si>
    <t>Conventional Harvesting under outage with generation</t>
  </si>
  <si>
    <t>System Security Liability</t>
  </si>
  <si>
    <t xml:space="preserve">Depot </t>
  </si>
  <si>
    <t>Wodland name / ref</t>
  </si>
  <si>
    <t>location</t>
  </si>
  <si>
    <t>landowner details</t>
  </si>
  <si>
    <t>date completed</t>
  </si>
  <si>
    <t>Actual duration of works (days)</t>
  </si>
  <si>
    <t>Live harvesting costs (contractor)</t>
  </si>
  <si>
    <t>live harvesting costs (SSE)</t>
  </si>
  <si>
    <t>Total costs</t>
  </si>
  <si>
    <t>Customers</t>
  </si>
  <si>
    <t>Duration of outage</t>
  </si>
  <si>
    <t>CI's Assumed 2 disconections per customer</t>
  </si>
  <si>
    <t xml:space="preserve">CHL's Based on the total estimated time to connect and disconnect generation </t>
  </si>
  <si>
    <t>Cost of Generation</t>
  </si>
  <si>
    <t>SSE Staff Cost</t>
  </si>
  <si>
    <t xml:space="preserve">CI cost </t>
  </si>
  <si>
    <t xml:space="preserve">CHL cost </t>
  </si>
  <si>
    <t>Likelyhood of genny trip</t>
  </si>
  <si>
    <t>Likely genny trip staff cost</t>
  </si>
  <si>
    <t>Likely genny trip CICHL costs</t>
  </si>
  <si>
    <t>Total cost of generation</t>
  </si>
  <si>
    <t>Customers Potentially Affected outside of outage area (number)</t>
  </si>
  <si>
    <t xml:space="preserve"> Estimated ERTS (Hours) based on access and staff coverage</t>
  </si>
  <si>
    <t xml:space="preserve">Customer hours lost if fault occurs </t>
  </si>
  <si>
    <t>CI cost</t>
  </si>
  <si>
    <t>CHL cost</t>
  </si>
  <si>
    <t>Total potential cost</t>
  </si>
  <si>
    <t>Likelyhood</t>
  </si>
  <si>
    <t>Potential Cost vs likelyhood</t>
  </si>
  <si>
    <t>Potential total cost under generation</t>
  </si>
  <si>
    <t>Potential saving</t>
  </si>
  <si>
    <t>Argyll</t>
  </si>
  <si>
    <t>Tarbert</t>
  </si>
  <si>
    <t>Greenland CC1</t>
  </si>
  <si>
    <t>Cambeltown</t>
  </si>
  <si>
    <t>Egger</t>
  </si>
  <si>
    <t>Greenland CC2</t>
  </si>
  <si>
    <t>Higland</t>
  </si>
  <si>
    <t>Trinloist</t>
  </si>
  <si>
    <t>Errogie</t>
  </si>
  <si>
    <t>Forestry Commission</t>
  </si>
  <si>
    <t>Broadford Hospital</t>
  </si>
  <si>
    <t>Skye</t>
  </si>
  <si>
    <t>HIE</t>
  </si>
  <si>
    <t>Ardchyline</t>
  </si>
  <si>
    <t>Strachur</t>
  </si>
  <si>
    <t>Scottish Woodlands</t>
  </si>
  <si>
    <t>Pennyghael</t>
  </si>
  <si>
    <t>Isle of Mull</t>
  </si>
  <si>
    <t>Tilhill</t>
  </si>
  <si>
    <t>Fank Cottage</t>
  </si>
  <si>
    <t>Kilfinichan</t>
  </si>
  <si>
    <t>Dixons</t>
  </si>
  <si>
    <t>Highland</t>
  </si>
  <si>
    <t>Strome Carronach</t>
  </si>
  <si>
    <t>Loch Carron</t>
  </si>
  <si>
    <t>Dallinlongart</t>
  </si>
  <si>
    <t>Kirkton Wood</t>
  </si>
  <si>
    <t>Munros timber</t>
  </si>
  <si>
    <t>Glen Douglas</t>
  </si>
  <si>
    <t>No of days completed to date</t>
  </si>
  <si>
    <t>Generation total</t>
  </si>
  <si>
    <t>Network Sec Total</t>
  </si>
  <si>
    <t>LLH Costs to date</t>
  </si>
  <si>
    <t>Average Per day</t>
  </si>
  <si>
    <t>Average per day</t>
  </si>
  <si>
    <t>Average costs per day</t>
  </si>
  <si>
    <t>CI/CHL Total</t>
  </si>
  <si>
    <t>Do Nothing Scenario.  Normal tree cutting operations take place here by third parties.  Generation and associated CI / CML costs have been included</t>
  </si>
  <si>
    <t xml:space="preserve">Currently one hired live line tree cutter makes up the costs.  Benefits are the reduction in diesel generation along with associated CI CML costs of generation activities. </t>
  </si>
  <si>
    <t>Number of generation related CHLs</t>
  </si>
  <si>
    <t>Total Cost of generation (excluding CI / CMLs)</t>
  </si>
  <si>
    <t>Number of generation related CIs</t>
  </si>
  <si>
    <t>Total Cost of CIs</t>
  </si>
  <si>
    <t>Likely gen trip CI cost</t>
  </si>
  <si>
    <t>Likely gen trip CHL cost</t>
  </si>
  <si>
    <t>Total Cost of CHLs</t>
  </si>
  <si>
    <t>Number of likely CI's</t>
  </si>
  <si>
    <t>Number of likely CHL's</t>
  </si>
  <si>
    <t>Number of likely CIs</t>
  </si>
  <si>
    <t>Number of likely CHLs</t>
  </si>
  <si>
    <t>Likely CI Cost</t>
  </si>
  <si>
    <t>Likely CHL Cost</t>
  </si>
  <si>
    <t>Cost of likely CI's</t>
  </si>
  <si>
    <t>Cost of likely CHL's</t>
  </si>
  <si>
    <t>Investment: Tree Cutting</t>
  </si>
  <si>
    <t>Number of likely Cis</t>
  </si>
  <si>
    <t>Number Of likely CHL's</t>
  </si>
  <si>
    <t>CO2e</t>
  </si>
  <si>
    <t>*Source: DCF Carbon Calculation Factors 29_9_2015 based on Fuels - Diesel - 100% mineral oil</t>
  </si>
  <si>
    <t>CBA figures</t>
  </si>
  <si>
    <r>
      <t xml:space="preserve">Workings / assumptions used for costing </t>
    </r>
    <r>
      <rPr>
        <b/>
        <sz val="14"/>
        <color rgb="FF0070C0"/>
        <rFont val="Calibri"/>
        <family val="2"/>
        <scheme val="minor"/>
      </rPr>
      <t>Option 2</t>
    </r>
  </si>
  <si>
    <t>Investment Tree Cutting</t>
  </si>
  <si>
    <t>Ofgem CBA Figure</t>
  </si>
  <si>
    <t>Total Litres of diesel used by harvester</t>
  </si>
  <si>
    <t>Total number of days used</t>
  </si>
  <si>
    <t>Total Litres of diesel used by harvester per day</t>
  </si>
  <si>
    <t>Total CO2 emitted (kg co2e)</t>
  </si>
  <si>
    <t>Total CO2 emitted (tonnes co2e)</t>
  </si>
  <si>
    <t>CO2 Emitted</t>
  </si>
  <si>
    <t>Total Cost of diesel</t>
  </si>
  <si>
    <t>*Calculated by dividing cost of diesel per litre (£0.5) from number of litres used per hour per generator</t>
  </si>
  <si>
    <t>*£0.5 used as cost of diesel per litre (same as workings baseline)</t>
  </si>
  <si>
    <t>Baseline Contractors &amp; Hand Felling Harvesting</t>
  </si>
  <si>
    <t>Live Line Tree Harvesting</t>
  </si>
  <si>
    <t>Monthly hire Rate</t>
  </si>
  <si>
    <t>SSE supervisor</t>
  </si>
  <si>
    <t xml:space="preserve">                 </t>
  </si>
  <si>
    <t>Potential availability (days per year)</t>
  </si>
  <si>
    <t>Days unavailable (off hire)</t>
  </si>
  <si>
    <t>Months available</t>
  </si>
  <si>
    <t>Month</t>
  </si>
  <si>
    <t>Duration</t>
  </si>
  <si>
    <t>Total days utilised</t>
  </si>
  <si>
    <t>Utilisation</t>
  </si>
  <si>
    <t>Machine Costs</t>
  </si>
  <si>
    <t>Harmony Cost including Fuel, Accomodatiom, Staff costs and Sundries</t>
  </si>
  <si>
    <t>Likely total cost under generation</t>
  </si>
  <si>
    <t>Minimum saving</t>
  </si>
  <si>
    <t>Ardmarnock</t>
  </si>
  <si>
    <t>Loch Ascog</t>
  </si>
  <si>
    <t>RTS</t>
  </si>
  <si>
    <t>Planning</t>
  </si>
  <si>
    <t>Total</t>
  </si>
  <si>
    <t>Off Hire for entire month due to operator and supervisor leave + workshop time.</t>
  </si>
  <si>
    <t>North east</t>
  </si>
  <si>
    <t>Tillypronnie Estate</t>
  </si>
  <si>
    <t>Tarland</t>
  </si>
  <si>
    <t>Tillypronie sawmill</t>
  </si>
  <si>
    <t>Tillypronie Coro' wood</t>
  </si>
  <si>
    <t>Tayside</t>
  </si>
  <si>
    <t>Kinniard Village</t>
  </si>
  <si>
    <t>Kinniard</t>
  </si>
  <si>
    <t>Willy Laing</t>
  </si>
  <si>
    <t>Achnaba</t>
  </si>
  <si>
    <t>Perth</t>
  </si>
  <si>
    <t>Drymen</t>
  </si>
  <si>
    <t>Gortocharn</t>
  </si>
  <si>
    <t>Cnochan A Chorra</t>
  </si>
  <si>
    <t>Kames</t>
  </si>
  <si>
    <t>Kyles View</t>
  </si>
  <si>
    <t>Glendaruel</t>
  </si>
  <si>
    <t>Euroforest</t>
  </si>
  <si>
    <t>Hells Glen</t>
  </si>
  <si>
    <t>Ardno</t>
  </si>
  <si>
    <t>DSH Woodlands</t>
  </si>
  <si>
    <t>Ardoch</t>
  </si>
  <si>
    <t>Murthly</t>
  </si>
  <si>
    <t>Adam Ritchie</t>
  </si>
  <si>
    <t>Littleport</t>
  </si>
  <si>
    <t>St Fillans</t>
  </si>
  <si>
    <t>Tiroran</t>
  </si>
  <si>
    <t>Isle Of Mull</t>
  </si>
  <si>
    <t>Dalchork</t>
  </si>
  <si>
    <t>Lairg</t>
  </si>
  <si>
    <t>Achfarry</t>
  </si>
  <si>
    <t>Shinnach</t>
  </si>
  <si>
    <t>Strathdon</t>
  </si>
  <si>
    <t>James Jones</t>
  </si>
  <si>
    <t>Machine Days</t>
  </si>
  <si>
    <t>Total Cost</t>
  </si>
  <si>
    <t>Cost per day</t>
  </si>
  <si>
    <t>Total available days per year</t>
  </si>
  <si>
    <t>Utilisation To Date</t>
  </si>
  <si>
    <t xml:space="preserve">*£0.5 used as cost of diesel per litre (same as workings baseline). Note that fuel costs are already included in harmony costs and so are not added to "investment tree cutting costs" as in previous year. </t>
  </si>
  <si>
    <r>
      <t xml:space="preserve">Workings / assumptions used for costing </t>
    </r>
    <r>
      <rPr>
        <b/>
        <sz val="14"/>
        <color rgb="FF0070C0"/>
        <rFont val="Arial"/>
        <family val="2"/>
      </rPr>
      <t>Baseline</t>
    </r>
  </si>
  <si>
    <t>Live Line Harvester Costs</t>
  </si>
  <si>
    <t>Machine Type</t>
  </si>
  <si>
    <t>Woodland name / ref</t>
  </si>
  <si>
    <t>April</t>
  </si>
  <si>
    <t>Contract Harvester</t>
  </si>
  <si>
    <t>NE</t>
  </si>
  <si>
    <t>Conerock</t>
  </si>
  <si>
    <t>Aberlour</t>
  </si>
  <si>
    <t>Gordons</t>
  </si>
  <si>
    <t>TW</t>
  </si>
  <si>
    <t>Balquidder</t>
  </si>
  <si>
    <t>SSE Harvester</t>
  </si>
  <si>
    <t>Rannoch</t>
  </si>
  <si>
    <t>Rannoch Lodge</t>
  </si>
  <si>
    <t>Tilhill/FCS</t>
  </si>
  <si>
    <t>Training</t>
  </si>
  <si>
    <t>Marykirk</t>
  </si>
  <si>
    <t>Workshop</t>
  </si>
  <si>
    <t>Treetop Forestry</t>
  </si>
  <si>
    <t>May</t>
  </si>
  <si>
    <t>AS</t>
  </si>
  <si>
    <t>Kennelhill</t>
  </si>
  <si>
    <t>Lochgilphead</t>
  </si>
  <si>
    <t>Barracks</t>
  </si>
  <si>
    <t>June</t>
  </si>
  <si>
    <t>HI</t>
  </si>
  <si>
    <t>Ord</t>
  </si>
  <si>
    <t>Nairn</t>
  </si>
  <si>
    <t>July</t>
  </si>
  <si>
    <t>Ormidale</t>
  </si>
  <si>
    <t>Balnafoich</t>
  </si>
  <si>
    <t>Cawdor</t>
  </si>
  <si>
    <t xml:space="preserve">Barracks </t>
  </si>
  <si>
    <t>August</t>
  </si>
  <si>
    <t>Ardlamont</t>
  </si>
  <si>
    <t>September</t>
  </si>
  <si>
    <t>Barevan</t>
  </si>
  <si>
    <t>October</t>
  </si>
  <si>
    <t>North East</t>
  </si>
  <si>
    <t>Kildrummy</t>
  </si>
  <si>
    <t>Lindsaig</t>
  </si>
  <si>
    <t>TS</t>
  </si>
  <si>
    <t>Inver</t>
  </si>
  <si>
    <t>November</t>
  </si>
  <si>
    <t>AN</t>
  </si>
  <si>
    <t>Dalmally</t>
  </si>
  <si>
    <t>Roy Bridge</t>
  </si>
  <si>
    <t>December</t>
  </si>
  <si>
    <t>Dalmally 2</t>
  </si>
  <si>
    <t>January</t>
  </si>
  <si>
    <t>Duncrub</t>
  </si>
  <si>
    <t>Clachaig</t>
  </si>
  <si>
    <t>Micheal Swailes</t>
  </si>
  <si>
    <t>February</t>
  </si>
  <si>
    <t>Rowardennan</t>
  </si>
  <si>
    <t>Culdrain</t>
  </si>
  <si>
    <t>March</t>
  </si>
  <si>
    <t>Moray</t>
  </si>
  <si>
    <t>Glen Eagles</t>
  </si>
  <si>
    <t>Iggesund</t>
  </si>
  <si>
    <t>Dores</t>
  </si>
  <si>
    <t>Total Litres of diesel avoided</t>
  </si>
  <si>
    <t>Total CO2 Avoided (kg co2e)</t>
  </si>
  <si>
    <t>Total CO2 Avoided (tonnes co2e)</t>
  </si>
  <si>
    <r>
      <rPr>
        <b/>
        <sz val="10"/>
        <color theme="1"/>
        <rFont val="Gill Sans MT"/>
        <family val="2"/>
      </rPr>
      <t xml:space="preserve">Live Line Harvester: </t>
    </r>
    <r>
      <rPr>
        <sz val="10"/>
        <color theme="1"/>
        <rFont val="Gill Sans MT"/>
        <family val="2"/>
      </rPr>
      <t>Harvester is able to cut down trees adjacent to live lines without the need for an outage, thus reducing customer outages.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</si>
</sst>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0_ ;\-#,##0\ "/>
  </numFmts>
  <fonts count="48" x14ac:knownFonts="1">
    <font>
      <sz val="11"/>
      <color theme="1"/>
      <name val="Calibri"/>
      <family val="2"/>
      <scheme val="minor"/>
    </font>
    <font>
      <sz val="11"/>
      <color theme="1"/>
      <name val="Arial"/>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
      <b/>
      <sz val="11"/>
      <color theme="1"/>
      <name val="Arial"/>
      <family val="2"/>
    </font>
    <font>
      <b/>
      <sz val="11"/>
      <color rgb="FFFF0000"/>
      <name val="Arial"/>
      <family val="2"/>
    </font>
    <font>
      <sz val="11"/>
      <name val="Arial"/>
      <family val="2"/>
    </font>
    <font>
      <sz val="11"/>
      <color rgb="FFFF0000"/>
      <name val="Arial"/>
      <family val="2"/>
    </font>
    <font>
      <b/>
      <sz val="9"/>
      <color indexed="81"/>
      <name val="Tahoma"/>
      <family val="2"/>
    </font>
    <font>
      <sz val="9"/>
      <color indexed="81"/>
      <name val="Tahoma"/>
      <family val="2"/>
    </font>
    <font>
      <b/>
      <sz val="11"/>
      <name val="Arial"/>
      <family val="2"/>
    </font>
    <font>
      <b/>
      <sz val="11"/>
      <color rgb="FFFF0000"/>
      <name val="Calibri"/>
      <family val="2"/>
      <scheme val="minor"/>
    </font>
    <font>
      <b/>
      <sz val="11"/>
      <name val="Calibri"/>
      <family val="2"/>
      <scheme val="minor"/>
    </font>
    <font>
      <b/>
      <sz val="14"/>
      <color theme="1"/>
      <name val="Arial"/>
      <family val="2"/>
    </font>
    <font>
      <b/>
      <sz val="14"/>
      <color rgb="FF0070C0"/>
      <name val="Arial"/>
      <family val="2"/>
    </font>
    <font>
      <sz val="10"/>
      <color theme="1"/>
      <name val="Arial"/>
      <family val="2"/>
    </font>
  </fonts>
  <fills count="2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indexed="49"/>
        <bgColor indexed="64"/>
      </patternFill>
    </fill>
    <fill>
      <patternFill patternType="solid">
        <fgColor indexed="50"/>
        <bgColor indexed="64"/>
      </patternFill>
    </fill>
    <fill>
      <patternFill patternType="solid">
        <fgColor indexed="10"/>
        <bgColor indexed="64"/>
      </patternFill>
    </fill>
    <fill>
      <patternFill patternType="solid">
        <fgColor indexed="22"/>
        <bgColor indexed="64"/>
      </patternFill>
    </fill>
    <fill>
      <patternFill patternType="solid">
        <fgColor theme="4"/>
        <bgColor indexed="64"/>
      </patternFill>
    </fill>
    <fill>
      <patternFill patternType="solid">
        <fgColor theme="2"/>
        <bgColor indexed="64"/>
      </patternFill>
    </fill>
    <fill>
      <patternFill patternType="solid">
        <fgColor theme="6" tint="-0.249977111117893"/>
        <bgColor indexed="64"/>
      </patternFill>
    </fill>
  </fills>
  <borders count="28">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bottom style="medium">
        <color indexed="64"/>
      </bottom>
      <diagonal/>
    </border>
  </borders>
  <cellStyleXfs count="9">
    <xf numFmtId="0" fontId="0" fillId="0" borderId="0"/>
    <xf numFmtId="9" fontId="2"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43" fontId="2" fillId="0" borderId="0" applyFont="0" applyFill="0" applyBorder="0" applyAlignment="0" applyProtection="0"/>
    <xf numFmtId="44" fontId="2" fillId="0" borderId="0" applyFont="0" applyFill="0" applyBorder="0" applyAlignment="0" applyProtection="0"/>
  </cellStyleXfs>
  <cellXfs count="527">
    <xf numFmtId="0" fontId="0" fillId="0" borderId="0" xfId="0"/>
    <xf numFmtId="0" fontId="4" fillId="0" borderId="0" xfId="0" applyFont="1"/>
    <xf numFmtId="0" fontId="5" fillId="0" borderId="0" xfId="0" applyFont="1"/>
    <xf numFmtId="0" fontId="6" fillId="5" borderId="0" xfId="0" applyFont="1" applyFill="1" applyProtection="1">
      <protection locked="0"/>
    </xf>
    <xf numFmtId="0" fontId="5" fillId="0" borderId="0" xfId="0" applyFont="1" applyProtection="1"/>
    <xf numFmtId="0" fontId="6" fillId="4" borderId="7" xfId="0" applyFont="1" applyFill="1" applyBorder="1" applyAlignment="1" applyProtection="1">
      <alignment horizontal="centerContinuous"/>
    </xf>
    <xf numFmtId="0" fontId="6" fillId="4" borderId="8" xfId="0" applyFont="1" applyFill="1" applyBorder="1" applyAlignment="1" applyProtection="1">
      <alignment horizontal="centerContinuous"/>
    </xf>
    <xf numFmtId="0" fontId="6" fillId="4" borderId="9" xfId="0" applyFont="1" applyFill="1" applyBorder="1" applyAlignment="1" applyProtection="1">
      <alignment horizontal="centerContinuous"/>
    </xf>
    <xf numFmtId="0" fontId="5" fillId="0" borderId="0" xfId="0" quotePrefix="1" applyFont="1" applyBorder="1" applyProtection="1"/>
    <xf numFmtId="0" fontId="5" fillId="0" borderId="0" xfId="0" applyFont="1" applyBorder="1" applyProtection="1"/>
    <xf numFmtId="164" fontId="5" fillId="5" borderId="0" xfId="1" applyNumberFormat="1" applyFont="1" applyFill="1" applyBorder="1" applyProtection="1"/>
    <xf numFmtId="0" fontId="5" fillId="0" borderId="0" xfId="0" applyFont="1" applyFill="1" applyBorder="1" applyProtection="1"/>
    <xf numFmtId="0" fontId="6" fillId="0" borderId="6" xfId="0" applyFont="1" applyBorder="1" applyProtection="1"/>
    <xf numFmtId="0" fontId="6" fillId="0" borderId="6" xfId="0" applyFont="1" applyFill="1" applyBorder="1" applyProtection="1"/>
    <xf numFmtId="0" fontId="6" fillId="0" borderId="0" xfId="0" applyFont="1" applyFill="1" applyBorder="1" applyProtection="1"/>
    <xf numFmtId="0" fontId="6" fillId="0" borderId="0" xfId="0" applyFont="1" applyProtection="1"/>
    <xf numFmtId="0" fontId="5" fillId="0" borderId="0" xfId="0" applyFont="1" applyBorder="1" applyAlignment="1" applyProtection="1">
      <alignment horizontal="right"/>
    </xf>
    <xf numFmtId="0" fontId="9" fillId="0" borderId="0" xfId="0" applyFont="1" applyProtection="1"/>
    <xf numFmtId="0" fontId="6" fillId="0" borderId="0" xfId="0" applyFont="1" applyBorder="1" applyProtection="1"/>
    <xf numFmtId="0" fontId="0" fillId="0" borderId="0" xfId="0" quotePrefix="1"/>
    <xf numFmtId="0" fontId="5" fillId="7" borderId="0" xfId="0" applyFont="1" applyFill="1"/>
    <xf numFmtId="0" fontId="5" fillId="0" borderId="0" xfId="0" applyFont="1" applyFill="1"/>
    <xf numFmtId="0" fontId="5" fillId="0" borderId="0" xfId="0" applyFont="1" applyFill="1" applyProtection="1"/>
    <xf numFmtId="164" fontId="5" fillId="2" borderId="3" xfId="0" applyNumberFormat="1" applyFont="1" applyFill="1" applyBorder="1" applyProtection="1"/>
    <xf numFmtId="3" fontId="5" fillId="2" borderId="3" xfId="0" applyNumberFormat="1" applyFont="1" applyFill="1" applyBorder="1" applyProtection="1"/>
    <xf numFmtId="0" fontId="6" fillId="0" borderId="0" xfId="0" applyFont="1"/>
    <xf numFmtId="0" fontId="11" fillId="0" borderId="0" xfId="0" applyFont="1"/>
    <xf numFmtId="0" fontId="5" fillId="0" borderId="0" xfId="0" applyFont="1" applyBorder="1" applyAlignment="1">
      <alignment horizontal="left" vertical="top" wrapText="1"/>
    </xf>
    <xf numFmtId="0" fontId="5" fillId="0" borderId="0" xfId="0" applyFont="1" applyBorder="1" applyAlignment="1">
      <alignment horizontal="left"/>
    </xf>
    <xf numFmtId="0" fontId="5" fillId="0" borderId="0" xfId="0" applyFont="1" applyBorder="1" applyAlignment="1">
      <alignment horizontal="center" vertical="top" wrapText="1"/>
    </xf>
    <xf numFmtId="0" fontId="5" fillId="0" borderId="3" xfId="0" applyFont="1" applyBorder="1" applyAlignment="1">
      <alignment vertical="top"/>
    </xf>
    <xf numFmtId="0" fontId="5" fillId="0" borderId="3" xfId="0" applyFont="1" applyBorder="1" applyAlignment="1">
      <alignment vertical="top" wrapText="1"/>
    </xf>
    <xf numFmtId="0" fontId="10" fillId="0" borderId="0" xfId="0" applyFont="1" applyFill="1"/>
    <xf numFmtId="164" fontId="5" fillId="5" borderId="3" xfId="1" applyNumberFormat="1" applyFont="1" applyFill="1" applyBorder="1" applyProtection="1">
      <protection locked="0"/>
    </xf>
    <xf numFmtId="165" fontId="5" fillId="5" borderId="0" xfId="0" applyNumberFormat="1" applyFont="1" applyFill="1" applyBorder="1" applyProtection="1">
      <protection locked="0"/>
    </xf>
    <xf numFmtId="165" fontId="5" fillId="0" borderId="0" xfId="0" applyNumberFormat="1" applyFont="1" applyFill="1" applyBorder="1" applyProtection="1">
      <protection locked="0"/>
    </xf>
    <xf numFmtId="10" fontId="5" fillId="5" borderId="0" xfId="1" applyNumberFormat="1" applyFont="1" applyFill="1" applyBorder="1" applyProtection="1">
      <protection locked="0"/>
    </xf>
    <xf numFmtId="0" fontId="12" fillId="0" borderId="0" xfId="0" applyFont="1" applyProtection="1"/>
    <xf numFmtId="3" fontId="5" fillId="5" borderId="0" xfId="1" applyNumberFormat="1" applyFont="1" applyFill="1" applyBorder="1" applyProtection="1">
      <protection locked="0"/>
    </xf>
    <xf numFmtId="0" fontId="15" fillId="0" borderId="0" xfId="0" applyFont="1" applyProtection="1"/>
    <xf numFmtId="1" fontId="15" fillId="0" borderId="0" xfId="0" applyNumberFormat="1" applyFont="1" applyProtection="1"/>
    <xf numFmtId="0" fontId="5" fillId="0" borderId="0" xfId="0" quotePrefix="1" applyFont="1" applyProtection="1"/>
    <xf numFmtId="0" fontId="18" fillId="2" borderId="20" xfId="4" applyFont="1" applyFill="1" applyBorder="1" applyAlignment="1">
      <alignment horizontal="center"/>
    </xf>
    <xf numFmtId="0" fontId="18" fillId="2" borderId="3" xfId="4" applyFont="1" applyFill="1" applyBorder="1" applyAlignment="1">
      <alignment horizontal="center"/>
    </xf>
    <xf numFmtId="167" fontId="5" fillId="5" borderId="0" xfId="0" applyNumberFormat="1" applyFont="1" applyFill="1" applyBorder="1" applyProtection="1">
      <protection locked="0"/>
    </xf>
    <xf numFmtId="8" fontId="6" fillId="0" borderId="14" xfId="0" applyNumberFormat="1" applyFont="1" applyBorder="1" applyProtection="1"/>
    <xf numFmtId="0" fontId="6" fillId="0" borderId="10" xfId="0" applyFont="1" applyBorder="1" applyAlignment="1" applyProtection="1">
      <alignment horizontal="center" wrapText="1"/>
    </xf>
    <xf numFmtId="0" fontId="6" fillId="0" borderId="13" xfId="0" applyFont="1" applyBorder="1" applyAlignment="1" applyProtection="1">
      <alignment horizontal="center" wrapText="1"/>
    </xf>
    <xf numFmtId="3" fontId="6" fillId="2" borderId="11" xfId="0" applyNumberFormat="1" applyFont="1" applyFill="1" applyBorder="1" applyAlignment="1" applyProtection="1">
      <alignment horizontal="center"/>
    </xf>
    <xf numFmtId="3" fontId="6" fillId="0" borderId="11" xfId="0" applyNumberFormat="1" applyFont="1" applyFill="1" applyBorder="1" applyAlignment="1" applyProtection="1">
      <alignment horizontal="center"/>
    </xf>
    <xf numFmtId="166" fontId="5" fillId="5" borderId="3" xfId="0" applyNumberFormat="1" applyFont="1" applyFill="1" applyBorder="1" applyProtection="1">
      <protection locked="0"/>
    </xf>
    <xf numFmtId="0" fontId="17" fillId="0" borderId="0" xfId="0" applyFont="1" applyProtection="1"/>
    <xf numFmtId="0" fontId="20" fillId="0" borderId="0" xfId="0" quotePrefix="1" applyFont="1"/>
    <xf numFmtId="165" fontId="6" fillId="3" borderId="6" xfId="0" applyNumberFormat="1" applyFont="1" applyFill="1" applyBorder="1" applyProtection="1">
      <protection locked="0"/>
    </xf>
    <xf numFmtId="165" fontId="6" fillId="2" borderId="0" xfId="0" applyNumberFormat="1" applyFont="1" applyFill="1" applyProtection="1"/>
    <xf numFmtId="165" fontId="5" fillId="0" borderId="0" xfId="0" applyNumberFormat="1" applyFont="1" applyProtection="1"/>
    <xf numFmtId="165" fontId="6" fillId="0" borderId="1" xfId="0" applyNumberFormat="1" applyFont="1" applyBorder="1" applyProtection="1"/>
    <xf numFmtId="0" fontId="5" fillId="0" borderId="6" xfId="0" applyFont="1" applyBorder="1" applyProtection="1"/>
    <xf numFmtId="0" fontId="5" fillId="0" borderId="6" xfId="0" quotePrefix="1" applyFont="1" applyBorder="1" applyProtection="1"/>
    <xf numFmtId="165" fontId="5" fillId="3" borderId="6" xfId="0" applyNumberFormat="1" applyFont="1" applyFill="1" applyBorder="1" applyProtection="1">
      <protection locked="0"/>
    </xf>
    <xf numFmtId="0" fontId="5" fillId="0" borderId="0" xfId="0" quotePrefix="1" applyFont="1" applyBorder="1" applyAlignment="1" applyProtection="1">
      <alignment vertical="center"/>
    </xf>
    <xf numFmtId="0" fontId="5" fillId="0" borderId="0" xfId="0" applyFont="1" applyBorder="1" applyAlignment="1" applyProtection="1">
      <alignment vertical="center"/>
    </xf>
    <xf numFmtId="165" fontId="5" fillId="5" borderId="0" xfId="0" applyNumberFormat="1" applyFont="1" applyFill="1" applyBorder="1" applyAlignment="1" applyProtection="1">
      <alignment vertical="center"/>
      <protection locked="0"/>
    </xf>
    <xf numFmtId="168" fontId="5" fillId="0" borderId="0" xfId="8" applyNumberFormat="1" applyFont="1" applyBorder="1" applyProtection="1"/>
    <xf numFmtId="0" fontId="5" fillId="6" borderId="3" xfId="0" applyFont="1" applyFill="1" applyBorder="1" applyAlignment="1">
      <alignment horizontal="center"/>
    </xf>
    <xf numFmtId="8" fontId="5" fillId="0" borderId="3" xfId="0" applyNumberFormat="1" applyFont="1" applyBorder="1" applyAlignment="1">
      <alignment horizontal="center" vertical="top"/>
    </xf>
    <xf numFmtId="8" fontId="5" fillId="0" borderId="3" xfId="0" applyNumberFormat="1" applyFont="1" applyBorder="1" applyAlignment="1">
      <alignment horizontal="left" vertical="top"/>
    </xf>
    <xf numFmtId="0" fontId="22" fillId="0" borderId="0" xfId="0" applyFont="1" applyProtection="1"/>
    <xf numFmtId="165" fontId="5" fillId="3" borderId="0" xfId="0" applyNumberFormat="1" applyFont="1" applyFill="1" applyBorder="1" applyProtection="1">
      <protection locked="0"/>
    </xf>
    <xf numFmtId="3" fontId="5" fillId="5" borderId="0" xfId="0" applyNumberFormat="1" applyFont="1" applyFill="1" applyProtection="1"/>
    <xf numFmtId="0" fontId="14" fillId="0" borderId="0" xfId="6" applyFont="1" applyAlignment="1" applyProtection="1">
      <alignment vertical="top"/>
    </xf>
    <xf numFmtId="0" fontId="14" fillId="8" borderId="0" xfId="6" applyFont="1" applyFill="1" applyAlignment="1" applyProtection="1">
      <alignment vertical="top"/>
    </xf>
    <xf numFmtId="0" fontId="5" fillId="8" borderId="0" xfId="0" applyFont="1" applyFill="1"/>
    <xf numFmtId="2" fontId="5" fillId="7" borderId="0" xfId="0" applyNumberFormat="1" applyFont="1" applyFill="1"/>
    <xf numFmtId="1" fontId="5" fillId="7" borderId="0" xfId="0" applyNumberFormat="1" applyFont="1" applyFill="1"/>
    <xf numFmtId="0" fontId="23" fillId="0" borderId="0" xfId="0" applyFont="1" applyProtection="1"/>
    <xf numFmtId="0" fontId="24" fillId="0" borderId="0" xfId="0" applyFont="1" applyProtection="1"/>
    <xf numFmtId="0" fontId="15" fillId="0" borderId="0" xfId="0" applyFont="1" applyAlignment="1" applyProtection="1">
      <alignment horizontal="left"/>
    </xf>
    <xf numFmtId="2" fontId="5" fillId="2" borderId="3" xfId="0" applyNumberFormat="1" applyFont="1" applyFill="1" applyBorder="1" applyProtection="1"/>
    <xf numFmtId="0" fontId="24" fillId="0" borderId="0" xfId="0" applyFont="1" applyAlignment="1" applyProtection="1">
      <alignment horizontal="left" vertical="top"/>
    </xf>
    <xf numFmtId="0" fontId="9" fillId="0" borderId="0" xfId="0" applyFont="1" applyFill="1" applyProtection="1"/>
    <xf numFmtId="170" fontId="5" fillId="5" borderId="3" xfId="0" applyNumberFormat="1" applyFont="1" applyFill="1" applyBorder="1" applyProtection="1">
      <protection locked="0"/>
    </xf>
    <xf numFmtId="165" fontId="5" fillId="0" borderId="0" xfId="0" applyNumberFormat="1" applyFont="1" applyFill="1" applyBorder="1" applyAlignment="1" applyProtection="1">
      <alignment horizontal="right"/>
      <protection locked="0"/>
    </xf>
    <xf numFmtId="0" fontId="5" fillId="0" borderId="0" xfId="0" applyFont="1" applyFill="1" applyAlignment="1">
      <alignment vertical="top"/>
    </xf>
    <xf numFmtId="0" fontId="6" fillId="0" borderId="0" xfId="0" applyFont="1" applyFill="1"/>
    <xf numFmtId="0" fontId="5" fillId="0" borderId="0" xfId="0" applyFont="1" applyFill="1" applyBorder="1" applyAlignment="1" applyProtection="1">
      <alignment horizontal="left"/>
    </xf>
    <xf numFmtId="0" fontId="8" fillId="0" borderId="0" xfId="0" applyFont="1" applyProtection="1"/>
    <xf numFmtId="43" fontId="5" fillId="0" borderId="0" xfId="7" applyFont="1" applyBorder="1" applyProtection="1"/>
    <xf numFmtId="165" fontId="5" fillId="3" borderId="3" xfId="0" applyNumberFormat="1" applyFont="1" applyFill="1" applyBorder="1" applyAlignment="1" applyProtection="1">
      <alignment horizontal="left"/>
      <protection locked="0"/>
    </xf>
    <xf numFmtId="0" fontId="6" fillId="6" borderId="3" xfId="0" applyFont="1" applyFill="1" applyBorder="1"/>
    <xf numFmtId="0" fontId="5" fillId="0" borderId="0" xfId="0" applyFont="1" applyAlignment="1"/>
    <xf numFmtId="0" fontId="5" fillId="0" borderId="0" xfId="0" applyFont="1" applyAlignment="1">
      <alignment vertical="top"/>
    </xf>
    <xf numFmtId="0" fontId="15" fillId="0" borderId="0" xfId="0" applyFont="1"/>
    <xf numFmtId="165" fontId="5" fillId="5" borderId="3" xfId="0" applyNumberFormat="1" applyFont="1" applyFill="1" applyBorder="1" applyAlignment="1" applyProtection="1">
      <alignment horizontal="left"/>
      <protection locked="0"/>
    </xf>
    <xf numFmtId="3" fontId="5" fillId="2" borderId="3" xfId="0" applyNumberFormat="1" applyFont="1" applyFill="1" applyBorder="1" applyAlignment="1" applyProtection="1">
      <alignment horizontal="left"/>
    </xf>
    <xf numFmtId="0" fontId="5" fillId="0" borderId="3" xfId="0" applyFont="1" applyBorder="1" applyAlignment="1">
      <alignment horizontal="left"/>
    </xf>
    <xf numFmtId="0" fontId="6" fillId="0" borderId="3" xfId="0" applyFont="1" applyBorder="1" applyAlignment="1">
      <alignment vertical="top"/>
    </xf>
    <xf numFmtId="0" fontId="6" fillId="0" borderId="3" xfId="0" applyFont="1" applyBorder="1" applyAlignment="1">
      <alignment vertical="top" wrapText="1"/>
    </xf>
    <xf numFmtId="0" fontId="6" fillId="0" borderId="3" xfId="0" applyFont="1" applyBorder="1" applyAlignment="1">
      <alignment horizontal="left" vertical="top" wrapText="1"/>
    </xf>
    <xf numFmtId="0" fontId="10" fillId="0" borderId="0" xfId="0" applyFont="1"/>
    <xf numFmtId="0" fontId="0" fillId="0" borderId="0" xfId="0" applyAlignment="1">
      <alignment vertical="top" wrapText="1"/>
    </xf>
    <xf numFmtId="0" fontId="25"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6" fillId="7" borderId="0" xfId="0" applyFont="1" applyFill="1"/>
    <xf numFmtId="0" fontId="5" fillId="7" borderId="0" xfId="0" applyFont="1" applyFill="1" applyAlignment="1">
      <alignment horizontal="right"/>
    </xf>
    <xf numFmtId="172" fontId="5" fillId="5" borderId="3" xfId="7" applyNumberFormat="1" applyFont="1" applyFill="1" applyBorder="1" applyProtection="1">
      <protection locked="0"/>
    </xf>
    <xf numFmtId="169" fontId="5" fillId="0" borderId="1" xfId="7" applyNumberFormat="1" applyFont="1" applyFill="1" applyBorder="1" applyProtection="1">
      <protection locked="0"/>
    </xf>
    <xf numFmtId="0" fontId="27" fillId="0" borderId="0" xfId="0" applyFont="1" applyFill="1"/>
    <xf numFmtId="171" fontId="5" fillId="5" borderId="3" xfId="0" applyNumberFormat="1" applyFont="1" applyFill="1" applyBorder="1"/>
    <xf numFmtId="0" fontId="5" fillId="7" borderId="0" xfId="0" applyFont="1" applyFill="1" applyAlignment="1">
      <alignment horizontal="left"/>
    </xf>
    <xf numFmtId="0" fontId="23" fillId="0" borderId="12" xfId="0" applyFont="1" applyBorder="1" applyAlignment="1" applyProtection="1">
      <alignment horizontal="right"/>
    </xf>
    <xf numFmtId="0" fontId="23" fillId="0" borderId="2" xfId="0" applyFont="1" applyBorder="1" applyAlignment="1" applyProtection="1">
      <alignment vertical="center" textRotation="90"/>
    </xf>
    <xf numFmtId="0" fontId="23" fillId="0" borderId="5" xfId="0" applyFont="1" applyBorder="1" applyAlignment="1" applyProtection="1">
      <alignment vertical="center" textRotation="90"/>
    </xf>
    <xf numFmtId="0" fontId="23" fillId="9" borderId="0" xfId="0" applyFont="1" applyFill="1" applyBorder="1" applyProtection="1"/>
    <xf numFmtId="0" fontId="6" fillId="9" borderId="0" xfId="0" applyFont="1" applyFill="1" applyBorder="1" applyProtection="1"/>
    <xf numFmtId="0" fontId="5" fillId="9" borderId="0" xfId="0" applyFont="1" applyFill="1" applyBorder="1" applyProtection="1"/>
    <xf numFmtId="0" fontId="23" fillId="9" borderId="18" xfId="0" applyFont="1" applyFill="1" applyBorder="1" applyProtection="1"/>
    <xf numFmtId="0" fontId="28" fillId="9" borderId="18" xfId="0" applyFont="1" applyFill="1" applyBorder="1" applyProtection="1"/>
    <xf numFmtId="0" fontId="6" fillId="9" borderId="18" xfId="0" applyFont="1" applyFill="1" applyBorder="1" applyProtection="1"/>
    <xf numFmtId="0" fontId="5" fillId="9" borderId="18" xfId="0" applyFont="1" applyFill="1" applyBorder="1" applyProtection="1"/>
    <xf numFmtId="0" fontId="26" fillId="9" borderId="0" xfId="0" applyFont="1" applyFill="1" applyBorder="1" applyProtection="1"/>
    <xf numFmtId="0" fontId="5" fillId="0" borderId="24" xfId="0" applyFont="1" applyBorder="1" applyAlignment="1" applyProtection="1">
      <alignment vertical="center"/>
    </xf>
    <xf numFmtId="0" fontId="5" fillId="0" borderId="6" xfId="0" applyFont="1" applyBorder="1" applyAlignment="1" applyProtection="1">
      <alignment vertical="center"/>
    </xf>
    <xf numFmtId="173" fontId="17" fillId="2" borderId="3" xfId="4" applyNumberFormat="1" applyFont="1" applyFill="1" applyBorder="1" applyAlignment="1">
      <alignment horizontal="right"/>
    </xf>
    <xf numFmtId="0" fontId="17" fillId="2" borderId="3" xfId="4" applyFont="1" applyFill="1" applyBorder="1" applyAlignment="1"/>
    <xf numFmtId="0" fontId="5" fillId="0" borderId="0" xfId="0" applyFont="1" applyAlignment="1" applyProtection="1">
      <alignment horizontal="right"/>
    </xf>
    <xf numFmtId="0" fontId="5"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5" fillId="5" borderId="25" xfId="0" applyNumberFormat="1" applyFont="1" applyFill="1" applyBorder="1" applyAlignment="1" applyProtection="1">
      <alignment horizontal="center"/>
      <protection locked="0"/>
    </xf>
    <xf numFmtId="0" fontId="0" fillId="0" borderId="0" xfId="0" applyAlignment="1">
      <alignment vertical="top"/>
    </xf>
    <xf numFmtId="44" fontId="0" fillId="0" borderId="0" xfId="8" applyFont="1"/>
    <xf numFmtId="44" fontId="0" fillId="10" borderId="0" xfId="0" applyNumberFormat="1" applyFill="1"/>
    <xf numFmtId="175" fontId="36" fillId="10" borderId="0" xfId="0" applyNumberFormat="1" applyFont="1" applyFill="1"/>
    <xf numFmtId="44" fontId="0" fillId="0" borderId="0" xfId="0" applyNumberFormat="1"/>
    <xf numFmtId="44" fontId="0" fillId="0" borderId="0" xfId="0" applyNumberFormat="1" applyFill="1"/>
    <xf numFmtId="0" fontId="0" fillId="0" borderId="0" xfId="0" applyFill="1"/>
    <xf numFmtId="0" fontId="36" fillId="10" borderId="0" xfId="0" applyFont="1" applyFill="1"/>
    <xf numFmtId="0" fontId="36" fillId="11" borderId="0" xfId="0" applyFont="1" applyFill="1"/>
    <xf numFmtId="0" fontId="37" fillId="0" borderId="0" xfId="0" applyFont="1"/>
    <xf numFmtId="2" fontId="36" fillId="10" borderId="0" xfId="0" applyNumberFormat="1" applyFont="1" applyFill="1" applyAlignment="1">
      <alignment horizontal="right"/>
    </xf>
    <xf numFmtId="170" fontId="0" fillId="0" borderId="0" xfId="0" applyNumberFormat="1"/>
    <xf numFmtId="2" fontId="36" fillId="11" borderId="0" xfId="0" applyNumberFormat="1" applyFont="1" applyFill="1" applyAlignment="1">
      <alignment horizontal="right"/>
    </xf>
    <xf numFmtId="0" fontId="36" fillId="0" borderId="0" xfId="0" applyFont="1" applyFill="1"/>
    <xf numFmtId="2" fontId="36" fillId="0" borderId="0" xfId="0" applyNumberFormat="1" applyFont="1" applyFill="1" applyAlignment="1">
      <alignment horizontal="right"/>
    </xf>
    <xf numFmtId="0" fontId="36" fillId="11" borderId="3" xfId="0" applyFont="1" applyFill="1" applyBorder="1" applyAlignment="1">
      <alignment horizontal="center"/>
    </xf>
    <xf numFmtId="0" fontId="36" fillId="13" borderId="3" xfId="0" applyFont="1" applyFill="1" applyBorder="1" applyAlignment="1">
      <alignment horizontal="center"/>
    </xf>
    <xf numFmtId="0" fontId="0" fillId="14" borderId="3" xfId="0" applyFill="1" applyBorder="1"/>
    <xf numFmtId="0" fontId="0" fillId="0" borderId="0" xfId="0" applyFill="1" applyBorder="1" applyAlignment="1">
      <alignment horizontal="center"/>
    </xf>
    <xf numFmtId="0" fontId="0" fillId="15" borderId="3" xfId="0" applyFill="1" applyBorder="1" applyAlignment="1">
      <alignment horizontal="center" wrapText="1"/>
    </xf>
    <xf numFmtId="44" fontId="0" fillId="15" borderId="3" xfId="8" applyFont="1" applyFill="1" applyBorder="1" applyAlignment="1">
      <alignment horizontal="center" wrapText="1"/>
    </xf>
    <xf numFmtId="0" fontId="0" fillId="16" borderId="3" xfId="0" applyFill="1" applyBorder="1" applyAlignment="1">
      <alignment horizontal="center" wrapText="1"/>
    </xf>
    <xf numFmtId="44" fontId="0" fillId="16" borderId="3" xfId="8" applyFont="1" applyFill="1" applyBorder="1" applyAlignment="1">
      <alignment horizontal="center" wrapText="1"/>
    </xf>
    <xf numFmtId="0" fontId="0" fillId="11" borderId="3" xfId="0" applyFill="1" applyBorder="1" applyAlignment="1">
      <alignment horizontal="center" wrapText="1"/>
    </xf>
    <xf numFmtId="44" fontId="0" fillId="11" borderId="3" xfId="0" applyNumberFormat="1" applyFill="1" applyBorder="1" applyAlignment="1">
      <alignment horizontal="center" wrapText="1"/>
    </xf>
    <xf numFmtId="44" fontId="0" fillId="13" borderId="3" xfId="0" applyNumberFormat="1" applyFill="1" applyBorder="1" applyAlignment="1">
      <alignment horizontal="center" wrapText="1"/>
    </xf>
    <xf numFmtId="0" fontId="0" fillId="14" borderId="3" xfId="0" applyFill="1" applyBorder="1" applyAlignment="1">
      <alignment horizontal="center" wrapText="1"/>
    </xf>
    <xf numFmtId="44" fontId="0" fillId="0" borderId="0" xfId="0" applyNumberFormat="1" applyFill="1" applyBorder="1" applyAlignment="1">
      <alignment horizontal="center" wrapText="1"/>
    </xf>
    <xf numFmtId="0" fontId="0" fillId="0" borderId="0" xfId="0" applyAlignment="1">
      <alignment horizontal="center" wrapText="1"/>
    </xf>
    <xf numFmtId="14" fontId="0" fillId="0" borderId="0" xfId="0" applyNumberFormat="1"/>
    <xf numFmtId="44" fontId="0" fillId="17" borderId="0" xfId="8" applyFont="1" applyFill="1"/>
    <xf numFmtId="1" fontId="0" fillId="0" borderId="0" xfId="0" applyNumberFormat="1"/>
    <xf numFmtId="2" fontId="0" fillId="0" borderId="0" xfId="0" applyNumberFormat="1"/>
    <xf numFmtId="9" fontId="0" fillId="0" borderId="0" xfId="0" applyNumberFormat="1"/>
    <xf numFmtId="44" fontId="0" fillId="0" borderId="0" xfId="8" applyFont="1" applyFill="1"/>
    <xf numFmtId="9" fontId="0" fillId="0" borderId="0" xfId="1" applyFont="1"/>
    <xf numFmtId="44" fontId="0" fillId="14" borderId="0" xfId="0" applyNumberFormat="1" applyFill="1"/>
    <xf numFmtId="44" fontId="38" fillId="0" borderId="0" xfId="8" applyFont="1"/>
    <xf numFmtId="1" fontId="38" fillId="0" borderId="0" xfId="0" applyNumberFormat="1" applyFont="1"/>
    <xf numFmtId="14" fontId="38" fillId="0" borderId="0" xfId="0" applyNumberFormat="1" applyFont="1"/>
    <xf numFmtId="0" fontId="38" fillId="0" borderId="0" xfId="0" applyFont="1"/>
    <xf numFmtId="0" fontId="39" fillId="0" borderId="0" xfId="0" applyFont="1"/>
    <xf numFmtId="14" fontId="37" fillId="0" borderId="0" xfId="0" applyNumberFormat="1" applyFont="1"/>
    <xf numFmtId="44" fontId="37" fillId="0" borderId="0" xfId="8" applyFont="1"/>
    <xf numFmtId="0" fontId="0" fillId="14" borderId="0" xfId="0" applyFill="1"/>
    <xf numFmtId="0" fontId="0" fillId="12" borderId="0" xfId="0" applyFill="1"/>
    <xf numFmtId="44" fontId="0" fillId="12" borderId="0" xfId="8" applyFont="1" applyFill="1"/>
    <xf numFmtId="0" fontId="0" fillId="10" borderId="0" xfId="0" applyFill="1"/>
    <xf numFmtId="166" fontId="0" fillId="10" borderId="0" xfId="0" applyNumberFormat="1" applyFill="1" applyAlignment="1"/>
    <xf numFmtId="0" fontId="0" fillId="11" borderId="0" xfId="0" applyFill="1"/>
    <xf numFmtId="44" fontId="0" fillId="11" borderId="0" xfId="0" applyNumberFormat="1" applyFill="1"/>
    <xf numFmtId="44" fontId="0" fillId="12" borderId="0" xfId="0" applyNumberFormat="1" applyFill="1"/>
    <xf numFmtId="166" fontId="36" fillId="10" borderId="0" xfId="0" applyNumberFormat="1" applyFont="1" applyFill="1" applyAlignment="1"/>
    <xf numFmtId="44" fontId="36" fillId="11" borderId="0" xfId="0" applyNumberFormat="1" applyFont="1" applyFill="1"/>
    <xf numFmtId="44" fontId="36" fillId="12" borderId="0" xfId="0" applyNumberFormat="1" applyFont="1" applyFill="1"/>
    <xf numFmtId="166" fontId="0" fillId="0" borderId="0" xfId="0" applyNumberFormat="1" applyFill="1" applyAlignment="1"/>
    <xf numFmtId="166" fontId="0" fillId="0" borderId="0" xfId="0" applyNumberFormat="1" applyAlignment="1"/>
    <xf numFmtId="166" fontId="36" fillId="0" borderId="0" xfId="0" applyNumberFormat="1" applyFont="1" applyFill="1" applyAlignment="1"/>
    <xf numFmtId="168" fontId="0" fillId="0" borderId="0" xfId="0" applyNumberFormat="1"/>
    <xf numFmtId="170" fontId="0" fillId="10" borderId="0" xfId="0" applyNumberFormat="1" applyFill="1"/>
    <xf numFmtId="168" fontId="25" fillId="10" borderId="0" xfId="0" applyNumberFormat="1" applyFont="1" applyFill="1"/>
    <xf numFmtId="1" fontId="0" fillId="0" borderId="0" xfId="1" applyNumberFormat="1" applyFont="1"/>
    <xf numFmtId="1" fontId="0" fillId="11" borderId="0" xfId="0" applyNumberFormat="1" applyFill="1"/>
    <xf numFmtId="1" fontId="0" fillId="10" borderId="0" xfId="0" applyNumberFormat="1" applyFill="1"/>
    <xf numFmtId="0" fontId="36" fillId="11" borderId="3" xfId="0" applyFont="1" applyFill="1" applyBorder="1" applyAlignment="1">
      <alignment horizontal="center"/>
    </xf>
    <xf numFmtId="166" fontId="0" fillId="0" borderId="0" xfId="0" applyNumberFormat="1"/>
    <xf numFmtId="0" fontId="0" fillId="0" borderId="10" xfId="0" applyBorder="1"/>
    <xf numFmtId="0" fontId="0" fillId="0" borderId="26" xfId="0" applyBorder="1"/>
    <xf numFmtId="0" fontId="0" fillId="0" borderId="11" xfId="0" applyBorder="1"/>
    <xf numFmtId="0" fontId="0" fillId="0" borderId="14" xfId="0" applyBorder="1"/>
    <xf numFmtId="0" fontId="0" fillId="0" borderId="12" xfId="0" applyBorder="1"/>
    <xf numFmtId="0" fontId="0" fillId="0" borderId="6" xfId="0" applyBorder="1"/>
    <xf numFmtId="1" fontId="0" fillId="0" borderId="13" xfId="0" applyNumberFormat="1" applyBorder="1"/>
    <xf numFmtId="1" fontId="0" fillId="0" borderId="14" xfId="0" applyNumberFormat="1" applyBorder="1"/>
    <xf numFmtId="168" fontId="0" fillId="0" borderId="0" xfId="8" applyNumberFormat="1" applyFont="1"/>
    <xf numFmtId="1" fontId="0" fillId="0" borderId="0" xfId="0" applyNumberFormat="1" applyBorder="1"/>
    <xf numFmtId="168" fontId="0" fillId="0" borderId="0" xfId="0" applyNumberFormat="1" applyBorder="1"/>
    <xf numFmtId="2" fontId="0" fillId="0" borderId="0" xfId="0" applyNumberFormat="1" applyBorder="1"/>
    <xf numFmtId="0" fontId="0" fillId="0" borderId="13" xfId="0" applyBorder="1"/>
    <xf numFmtId="0" fontId="0" fillId="0" borderId="27" xfId="0" applyBorder="1"/>
    <xf numFmtId="0" fontId="0" fillId="0" borderId="0" xfId="0" applyFill="1" applyBorder="1"/>
    <xf numFmtId="2" fontId="0" fillId="0" borderId="27" xfId="0" applyNumberFormat="1" applyBorder="1"/>
    <xf numFmtId="0" fontId="36" fillId="11" borderId="3" xfId="0" applyFont="1" applyFill="1" applyBorder="1" applyAlignment="1">
      <alignment horizontal="center"/>
    </xf>
    <xf numFmtId="0" fontId="36" fillId="11" borderId="3" xfId="0" applyFont="1" applyFill="1" applyBorder="1" applyAlignment="1">
      <alignment horizontal="center"/>
    </xf>
    <xf numFmtId="0" fontId="0" fillId="0" borderId="0" xfId="0" applyNumberFormat="1"/>
    <xf numFmtId="9" fontId="36" fillId="0" borderId="0" xfId="0" applyNumberFormat="1" applyFont="1" applyFill="1" applyAlignment="1">
      <alignment horizontal="right"/>
    </xf>
    <xf numFmtId="175" fontId="0" fillId="0" borderId="0" xfId="8" applyNumberFormat="1" applyFont="1"/>
    <xf numFmtId="0" fontId="36" fillId="18" borderId="3" xfId="0" applyFont="1" applyFill="1" applyBorder="1" applyAlignment="1">
      <alignment horizontal="center"/>
    </xf>
    <xf numFmtId="0" fontId="0" fillId="19" borderId="3" xfId="0" applyFill="1" applyBorder="1" applyAlignment="1">
      <alignment horizontal="center"/>
    </xf>
    <xf numFmtId="0" fontId="0" fillId="19" borderId="3" xfId="0" applyFill="1" applyBorder="1"/>
    <xf numFmtId="0" fontId="0" fillId="15" borderId="3" xfId="0" applyNumberFormat="1" applyFill="1" applyBorder="1" applyAlignment="1">
      <alignment horizontal="center" wrapText="1"/>
    </xf>
    <xf numFmtId="44" fontId="0" fillId="18" borderId="3" xfId="0" applyNumberFormat="1" applyFill="1" applyBorder="1" applyAlignment="1">
      <alignment horizontal="center" wrapText="1"/>
    </xf>
    <xf numFmtId="44" fontId="0" fillId="19" borderId="3" xfId="0" applyNumberFormat="1" applyFill="1" applyBorder="1" applyAlignment="1">
      <alignment horizontal="center" wrapText="1"/>
    </xf>
    <xf numFmtId="0" fontId="0" fillId="19" borderId="3" xfId="0" applyFill="1" applyBorder="1" applyAlignment="1">
      <alignment horizontal="center" wrapText="1"/>
    </xf>
    <xf numFmtId="17" fontId="0" fillId="2" borderId="0" xfId="0" applyNumberFormat="1" applyFill="1"/>
    <xf numFmtId="0" fontId="0" fillId="2" borderId="0" xfId="0" applyFill="1"/>
    <xf numFmtId="14" fontId="0" fillId="2" borderId="0" xfId="0" applyNumberFormat="1" applyFill="1"/>
    <xf numFmtId="0" fontId="0" fillId="2" borderId="0" xfId="0" applyNumberFormat="1" applyFill="1"/>
    <xf numFmtId="44" fontId="0" fillId="2" borderId="0" xfId="8" applyFont="1" applyFill="1"/>
    <xf numFmtId="1" fontId="0" fillId="2" borderId="0" xfId="0" applyNumberFormat="1" applyFill="1"/>
    <xf numFmtId="2" fontId="0" fillId="2" borderId="0" xfId="0" applyNumberFormat="1" applyFill="1"/>
    <xf numFmtId="9" fontId="0" fillId="2" borderId="0" xfId="0" applyNumberFormat="1" applyFill="1"/>
    <xf numFmtId="2" fontId="20" fillId="2" borderId="0" xfId="0" applyNumberFormat="1" applyFont="1" applyFill="1"/>
    <xf numFmtId="44" fontId="0" fillId="2" borderId="0" xfId="0" applyNumberFormat="1" applyFill="1"/>
    <xf numFmtId="9" fontId="0" fillId="2" borderId="0" xfId="1" applyFont="1" applyFill="1"/>
    <xf numFmtId="1" fontId="0" fillId="2" borderId="0" xfId="1" applyNumberFormat="1" applyFont="1" applyFill="1"/>
    <xf numFmtId="44" fontId="0" fillId="18" borderId="0" xfId="0" applyNumberFormat="1" applyFill="1"/>
    <xf numFmtId="44" fontId="0" fillId="19" borderId="0" xfId="0" applyNumberFormat="1" applyFill="1"/>
    <xf numFmtId="14" fontId="25" fillId="2" borderId="0" xfId="0" applyNumberFormat="1" applyFont="1" applyFill="1"/>
    <xf numFmtId="0" fontId="25" fillId="2" borderId="0" xfId="0" applyNumberFormat="1" applyFont="1" applyFill="1"/>
    <xf numFmtId="0" fontId="25" fillId="2" borderId="0" xfId="0" applyFont="1" applyFill="1"/>
    <xf numFmtId="9" fontId="25" fillId="2" borderId="0" xfId="0" applyNumberFormat="1" applyFont="1" applyFill="1"/>
    <xf numFmtId="17" fontId="0" fillId="3" borderId="0" xfId="0" applyNumberFormat="1" applyFill="1"/>
    <xf numFmtId="0" fontId="38" fillId="3" borderId="0" xfId="0" applyFont="1" applyFill="1"/>
    <xf numFmtId="0" fontId="39" fillId="3" borderId="0" xfId="0" applyFont="1" applyFill="1"/>
    <xf numFmtId="14" fontId="37" fillId="3" borderId="0" xfId="0" applyNumberFormat="1" applyFont="1" applyFill="1"/>
    <xf numFmtId="0" fontId="38" fillId="3" borderId="0" xfId="0" applyNumberFormat="1" applyFont="1" applyFill="1"/>
    <xf numFmtId="0" fontId="0" fillId="3" borderId="0" xfId="0" applyFill="1"/>
    <xf numFmtId="44" fontId="0" fillId="3" borderId="0" xfId="8" applyFont="1" applyFill="1"/>
    <xf numFmtId="2" fontId="0" fillId="3" borderId="0" xfId="0" applyNumberFormat="1" applyFill="1"/>
    <xf numFmtId="9" fontId="0" fillId="3" borderId="0" xfId="0" applyNumberFormat="1" applyFill="1"/>
    <xf numFmtId="44" fontId="0" fillId="3" borderId="0" xfId="0" applyNumberFormat="1" applyFill="1"/>
    <xf numFmtId="9" fontId="0" fillId="3" borderId="0" xfId="1" applyFont="1" applyFill="1"/>
    <xf numFmtId="1" fontId="0" fillId="3" borderId="0" xfId="1" applyNumberFormat="1" applyFont="1" applyFill="1"/>
    <xf numFmtId="14" fontId="38" fillId="3" borderId="0" xfId="0" applyNumberFormat="1" applyFont="1" applyFill="1"/>
    <xf numFmtId="2" fontId="20" fillId="3" borderId="0" xfId="0" applyNumberFormat="1" applyFont="1" applyFill="1"/>
    <xf numFmtId="14" fontId="42" fillId="3" borderId="0" xfId="0" applyNumberFormat="1" applyFont="1" applyFill="1"/>
    <xf numFmtId="0" fontId="42" fillId="3" borderId="0" xfId="0" applyNumberFormat="1" applyFont="1" applyFill="1"/>
    <xf numFmtId="0" fontId="42" fillId="3" borderId="0" xfId="0" applyFont="1" applyFill="1"/>
    <xf numFmtId="9" fontId="25" fillId="3" borderId="0" xfId="0" applyNumberFormat="1" applyFont="1" applyFill="1"/>
    <xf numFmtId="0" fontId="38" fillId="2" borderId="0" xfId="0" applyFont="1" applyFill="1"/>
    <xf numFmtId="0" fontId="39" fillId="2" borderId="0" xfId="0" applyFont="1" applyFill="1"/>
    <xf numFmtId="14" fontId="38" fillId="2" borderId="0" xfId="0" applyNumberFormat="1" applyFont="1" applyFill="1"/>
    <xf numFmtId="0" fontId="38" fillId="2" borderId="0" xfId="0" applyNumberFormat="1" applyFont="1" applyFill="1"/>
    <xf numFmtId="44" fontId="20" fillId="2" borderId="0" xfId="8" applyFont="1" applyFill="1"/>
    <xf numFmtId="0" fontId="20" fillId="2" borderId="0" xfId="0" applyFont="1" applyFill="1"/>
    <xf numFmtId="44" fontId="43" fillId="2" borderId="0" xfId="8" applyFont="1" applyFill="1"/>
    <xf numFmtId="14" fontId="42" fillId="2" borderId="0" xfId="0" applyNumberFormat="1" applyFont="1" applyFill="1"/>
    <xf numFmtId="0" fontId="42" fillId="2" borderId="0" xfId="0" applyNumberFormat="1" applyFont="1" applyFill="1"/>
    <xf numFmtId="0" fontId="42" fillId="2" borderId="0" xfId="0" applyFont="1" applyFill="1"/>
    <xf numFmtId="0" fontId="20" fillId="3" borderId="0" xfId="0" applyFont="1" applyFill="1"/>
    <xf numFmtId="4" fontId="20" fillId="3" borderId="0" xfId="0" applyNumberFormat="1" applyFont="1" applyFill="1"/>
    <xf numFmtId="9" fontId="20" fillId="3" borderId="0" xfId="0" applyNumberFormat="1" applyFont="1" applyFill="1"/>
    <xf numFmtId="44" fontId="20" fillId="3" borderId="0" xfId="8" applyFont="1" applyFill="1"/>
    <xf numFmtId="44" fontId="20" fillId="3" borderId="0" xfId="0" applyNumberFormat="1" applyFont="1" applyFill="1"/>
    <xf numFmtId="9" fontId="20" fillId="3" borderId="0" xfId="1" applyFont="1" applyFill="1"/>
    <xf numFmtId="1" fontId="20" fillId="3" borderId="0" xfId="1" applyNumberFormat="1" applyFont="1" applyFill="1"/>
    <xf numFmtId="0" fontId="43" fillId="3" borderId="0" xfId="0" applyFont="1" applyFill="1"/>
    <xf numFmtId="2" fontId="43" fillId="3" borderId="0" xfId="0" applyNumberFormat="1" applyFont="1" applyFill="1"/>
    <xf numFmtId="9" fontId="43" fillId="3" borderId="0" xfId="0" applyNumberFormat="1" applyFont="1" applyFill="1"/>
    <xf numFmtId="44" fontId="43" fillId="3" borderId="0" xfId="8" applyFont="1" applyFill="1"/>
    <xf numFmtId="9" fontId="20" fillId="2" borderId="0" xfId="0" applyNumberFormat="1" applyFont="1" applyFill="1"/>
    <xf numFmtId="44" fontId="20" fillId="2" borderId="0" xfId="0" applyNumberFormat="1" applyFont="1" applyFill="1"/>
    <xf numFmtId="9" fontId="20" fillId="2" borderId="0" xfId="1" applyFont="1" applyFill="1"/>
    <xf numFmtId="1" fontId="20" fillId="2" borderId="0" xfId="1" applyNumberFormat="1" applyFont="1" applyFill="1"/>
    <xf numFmtId="9" fontId="44" fillId="2" borderId="0" xfId="0" applyNumberFormat="1" applyFont="1" applyFill="1"/>
    <xf numFmtId="9" fontId="44" fillId="3" borderId="0" xfId="0" applyNumberFormat="1" applyFont="1" applyFill="1"/>
    <xf numFmtId="1" fontId="20" fillId="2" borderId="0" xfId="0" applyNumberFormat="1" applyFont="1" applyFill="1"/>
    <xf numFmtId="1" fontId="0" fillId="3" borderId="0" xfId="0" applyNumberFormat="1" applyFill="1"/>
    <xf numFmtId="14" fontId="20" fillId="2" borderId="0" xfId="0" applyNumberFormat="1" applyFont="1" applyFill="1"/>
    <xf numFmtId="0" fontId="37" fillId="2" borderId="0" xfId="0" applyFont="1" applyFill="1"/>
    <xf numFmtId="14" fontId="20" fillId="3" borderId="0" xfId="0" applyNumberFormat="1" applyFont="1" applyFill="1"/>
    <xf numFmtId="0" fontId="0" fillId="3" borderId="0" xfId="0" applyNumberFormat="1" applyFill="1"/>
    <xf numFmtId="14" fontId="0" fillId="3" borderId="0" xfId="0" applyNumberFormat="1" applyFill="1"/>
    <xf numFmtId="0" fontId="20" fillId="3" borderId="0" xfId="0" applyNumberFormat="1" applyFont="1" applyFill="1"/>
    <xf numFmtId="2" fontId="0" fillId="0" borderId="0" xfId="0" applyNumberFormat="1" applyFill="1"/>
    <xf numFmtId="9" fontId="0" fillId="0" borderId="0" xfId="1" applyFont="1" applyFill="1"/>
    <xf numFmtId="1" fontId="0" fillId="0" borderId="0" xfId="1" applyNumberFormat="1" applyFont="1" applyFill="1"/>
    <xf numFmtId="0" fontId="20" fillId="12" borderId="0" xfId="0" applyFont="1" applyFill="1"/>
    <xf numFmtId="0" fontId="20" fillId="12" borderId="0" xfId="0" applyNumberFormat="1" applyFont="1" applyFill="1"/>
    <xf numFmtId="0" fontId="25" fillId="12" borderId="0" xfId="0" applyFont="1" applyFill="1"/>
    <xf numFmtId="9" fontId="25" fillId="12" borderId="0" xfId="0" applyNumberFormat="1" applyFont="1" applyFill="1"/>
    <xf numFmtId="44" fontId="25" fillId="12" borderId="0" xfId="8" applyFont="1" applyFill="1"/>
    <xf numFmtId="0" fontId="25" fillId="10" borderId="0" xfId="0" applyFont="1" applyFill="1"/>
    <xf numFmtId="2" fontId="25" fillId="10" borderId="0" xfId="0" applyNumberFormat="1" applyFont="1" applyFill="1"/>
    <xf numFmtId="2" fontId="0" fillId="11" borderId="0" xfId="0" applyNumberFormat="1" applyFill="1"/>
    <xf numFmtId="44" fontId="25" fillId="18" borderId="0" xfId="0" applyNumberFormat="1" applyFont="1" applyFill="1"/>
    <xf numFmtId="44" fontId="44" fillId="14" borderId="0" xfId="0" applyNumberFormat="1" applyFont="1" applyFill="1"/>
    <xf numFmtId="0" fontId="0" fillId="12" borderId="0" xfId="0" applyNumberFormat="1" applyFill="1"/>
    <xf numFmtId="175" fontId="36" fillId="12" borderId="0" xfId="0" applyNumberFormat="1" applyFont="1" applyFill="1"/>
    <xf numFmtId="44" fontId="36" fillId="0" borderId="0" xfId="0" applyNumberFormat="1" applyFont="1" applyFill="1"/>
    <xf numFmtId="1" fontId="0" fillId="0" borderId="0" xfId="0" applyNumberFormat="1" applyFill="1"/>
    <xf numFmtId="9" fontId="25" fillId="12" borderId="0" xfId="8" applyNumberFormat="1" applyFont="1" applyFill="1"/>
    <xf numFmtId="170" fontId="0" fillId="0" borderId="0" xfId="0" applyNumberFormat="1" applyFill="1"/>
    <xf numFmtId="168" fontId="25" fillId="0" borderId="0" xfId="0" applyNumberFormat="1" applyFont="1" applyFill="1"/>
    <xf numFmtId="0" fontId="36" fillId="11" borderId="3" xfId="0" applyFont="1" applyFill="1" applyBorder="1" applyAlignment="1">
      <alignment horizontal="center"/>
    </xf>
    <xf numFmtId="3" fontId="5" fillId="0" borderId="0" xfId="0" applyNumberFormat="1" applyFont="1" applyProtection="1"/>
    <xf numFmtId="0" fontId="1" fillId="0" borderId="0" xfId="0" applyFont="1"/>
    <xf numFmtId="0" fontId="45" fillId="0" borderId="0" xfId="0" applyFont="1"/>
    <xf numFmtId="0" fontId="1" fillId="0" borderId="0" xfId="0" applyNumberFormat="1" applyFont="1"/>
    <xf numFmtId="44" fontId="1" fillId="0" borderId="0" xfId="8" applyFont="1"/>
    <xf numFmtId="44" fontId="1" fillId="10" borderId="0" xfId="0" applyNumberFormat="1" applyFont="1" applyFill="1"/>
    <xf numFmtId="44" fontId="1" fillId="0" borderId="0" xfId="0" applyNumberFormat="1" applyFont="1"/>
    <xf numFmtId="44" fontId="1" fillId="0" borderId="0" xfId="0" applyNumberFormat="1" applyFont="1" applyFill="1"/>
    <xf numFmtId="0" fontId="1" fillId="0" borderId="0" xfId="0" applyFont="1" applyFill="1"/>
    <xf numFmtId="170" fontId="1" fillId="0" borderId="0" xfId="0" applyNumberFormat="1" applyFont="1"/>
    <xf numFmtId="175" fontId="1" fillId="0" borderId="0" xfId="8" applyNumberFormat="1" applyFont="1"/>
    <xf numFmtId="0" fontId="36" fillId="0" borderId="0" xfId="0" applyFont="1" applyFill="1" applyBorder="1" applyAlignment="1">
      <alignment horizontal="center"/>
    </xf>
    <xf numFmtId="0" fontId="0" fillId="0" borderId="0" xfId="0" applyFill="1" applyBorder="1" applyAlignment="1">
      <alignment horizontal="center" wrapText="1"/>
    </xf>
    <xf numFmtId="2" fontId="0" fillId="0" borderId="0" xfId="0" applyNumberFormat="1" applyFill="1" applyBorder="1"/>
    <xf numFmtId="44" fontId="0" fillId="0" borderId="0" xfId="0" applyNumberFormat="1" applyFill="1" applyBorder="1"/>
    <xf numFmtId="9" fontId="0" fillId="0" borderId="0" xfId="1" applyFont="1" applyFill="1" applyBorder="1"/>
    <xf numFmtId="1" fontId="0" fillId="0" borderId="0" xfId="1" applyNumberFormat="1" applyFont="1" applyFill="1" applyBorder="1"/>
    <xf numFmtId="0" fontId="1" fillId="0" borderId="18" xfId="0" applyFont="1" applyBorder="1" applyAlignment="1">
      <alignment horizontal="center" wrapText="1"/>
    </xf>
    <xf numFmtId="0" fontId="1" fillId="15" borderId="3" xfId="0" applyFont="1" applyFill="1" applyBorder="1" applyAlignment="1">
      <alignment horizontal="center" wrapText="1"/>
    </xf>
    <xf numFmtId="0" fontId="1" fillId="15" borderId="3" xfId="0" applyNumberFormat="1" applyFont="1" applyFill="1" applyBorder="1" applyAlignment="1">
      <alignment horizontal="center" wrapText="1"/>
    </xf>
    <xf numFmtId="44" fontId="1" fillId="15" borderId="3" xfId="8" applyFont="1" applyFill="1" applyBorder="1" applyAlignment="1">
      <alignment horizontal="center" wrapText="1"/>
    </xf>
    <xf numFmtId="0" fontId="1" fillId="16" borderId="3" xfId="0" applyFont="1" applyFill="1" applyBorder="1" applyAlignment="1">
      <alignment horizontal="center" wrapText="1"/>
    </xf>
    <xf numFmtId="44" fontId="1" fillId="16" borderId="3" xfId="8" applyFont="1" applyFill="1" applyBorder="1" applyAlignment="1">
      <alignment horizontal="center" wrapText="1"/>
    </xf>
    <xf numFmtId="17" fontId="1" fillId="2" borderId="0" xfId="0" applyNumberFormat="1" applyFont="1" applyFill="1"/>
    <xf numFmtId="0" fontId="1" fillId="2" borderId="0" xfId="0" applyFont="1" applyFill="1"/>
    <xf numFmtId="14" fontId="1" fillId="2" borderId="0" xfId="0" applyNumberFormat="1" applyFont="1" applyFill="1"/>
    <xf numFmtId="0" fontId="1" fillId="2" borderId="0" xfId="0" applyNumberFormat="1" applyFont="1" applyFill="1"/>
    <xf numFmtId="9" fontId="36" fillId="2" borderId="0" xfId="0" applyNumberFormat="1" applyFont="1" applyFill="1"/>
    <xf numFmtId="44" fontId="1" fillId="2" borderId="0" xfId="8" applyFont="1" applyFill="1"/>
    <xf numFmtId="44" fontId="38" fillId="2" borderId="0" xfId="8" applyFont="1" applyFill="1"/>
    <xf numFmtId="1" fontId="1" fillId="2" borderId="0" xfId="0" applyNumberFormat="1" applyFont="1" applyFill="1"/>
    <xf numFmtId="2" fontId="1" fillId="2" borderId="0" xfId="0" applyNumberFormat="1" applyFont="1" applyFill="1"/>
    <xf numFmtId="9" fontId="1" fillId="2" borderId="0" xfId="0" applyNumberFormat="1" applyFont="1" applyFill="1"/>
    <xf numFmtId="2" fontId="38" fillId="2" borderId="0" xfId="0" applyNumberFormat="1" applyFont="1" applyFill="1"/>
    <xf numFmtId="17" fontId="1" fillId="2" borderId="0" xfId="0" applyNumberFormat="1" applyFont="1" applyFill="1" applyBorder="1"/>
    <xf numFmtId="0" fontId="1" fillId="2" borderId="0" xfId="0" applyFont="1" applyFill="1" applyBorder="1"/>
    <xf numFmtId="14" fontId="1" fillId="2" borderId="0" xfId="0" applyNumberFormat="1" applyFont="1" applyFill="1" applyBorder="1"/>
    <xf numFmtId="0" fontId="1" fillId="2" borderId="0" xfId="0" applyNumberFormat="1" applyFont="1" applyFill="1" applyBorder="1"/>
    <xf numFmtId="44" fontId="1" fillId="2" borderId="0" xfId="8" applyFont="1" applyFill="1" applyBorder="1"/>
    <xf numFmtId="1" fontId="1" fillId="2" borderId="0" xfId="0" applyNumberFormat="1" applyFont="1" applyFill="1" applyBorder="1"/>
    <xf numFmtId="2" fontId="1" fillId="2" borderId="0" xfId="0" applyNumberFormat="1" applyFont="1" applyFill="1" applyBorder="1"/>
    <xf numFmtId="9" fontId="1" fillId="2" borderId="0" xfId="0" applyNumberFormat="1" applyFont="1" applyFill="1" applyBorder="1"/>
    <xf numFmtId="2" fontId="38" fillId="2" borderId="0" xfId="0" applyNumberFormat="1" applyFont="1" applyFill="1" applyBorder="1"/>
    <xf numFmtId="0" fontId="1" fillId="0" borderId="0" xfId="0" applyFont="1" applyBorder="1"/>
    <xf numFmtId="17" fontId="36" fillId="2" borderId="0" xfId="0" applyNumberFormat="1" applyFont="1" applyFill="1" applyBorder="1"/>
    <xf numFmtId="0" fontId="36" fillId="2" borderId="0" xfId="0" applyFont="1" applyFill="1" applyBorder="1"/>
    <xf numFmtId="14" fontId="36" fillId="2" borderId="0" xfId="0" applyNumberFormat="1" applyFont="1" applyFill="1" applyBorder="1"/>
    <xf numFmtId="0" fontId="36" fillId="2" borderId="0" xfId="0" applyNumberFormat="1" applyFont="1" applyFill="1" applyBorder="1"/>
    <xf numFmtId="44" fontId="36" fillId="2" borderId="0" xfId="8" applyFont="1" applyFill="1" applyBorder="1"/>
    <xf numFmtId="0" fontId="36" fillId="20" borderId="0" xfId="0" applyFont="1" applyFill="1" applyBorder="1"/>
    <xf numFmtId="1" fontId="36" fillId="2" borderId="0" xfId="0" applyNumberFormat="1" applyFont="1" applyFill="1" applyBorder="1"/>
    <xf numFmtId="0" fontId="25" fillId="2" borderId="0" xfId="0" applyFont="1" applyFill="1" applyBorder="1"/>
    <xf numFmtId="2" fontId="25" fillId="2" borderId="0" xfId="0" applyNumberFormat="1" applyFont="1" applyFill="1" applyBorder="1"/>
    <xf numFmtId="44" fontId="25" fillId="2" borderId="0" xfId="0" applyNumberFormat="1" applyFont="1" applyFill="1" applyBorder="1"/>
    <xf numFmtId="9" fontId="25" fillId="2" borderId="0" xfId="1" applyFont="1" applyFill="1" applyBorder="1"/>
    <xf numFmtId="1" fontId="25" fillId="2" borderId="0" xfId="1" applyNumberFormat="1" applyFont="1" applyFill="1" applyBorder="1"/>
    <xf numFmtId="44" fontId="25" fillId="14" borderId="0" xfId="0" applyNumberFormat="1" applyFont="1" applyFill="1"/>
    <xf numFmtId="44" fontId="25" fillId="19" borderId="0" xfId="0" applyNumberFormat="1" applyFont="1" applyFill="1"/>
    <xf numFmtId="0" fontId="36" fillId="0" borderId="0" xfId="0" applyFont="1" applyBorder="1"/>
    <xf numFmtId="17" fontId="1" fillId="3" borderId="0" xfId="0" applyNumberFormat="1" applyFont="1" applyFill="1"/>
    <xf numFmtId="9" fontId="42" fillId="3" borderId="0" xfId="0" applyNumberFormat="1" applyFont="1" applyFill="1"/>
    <xf numFmtId="44" fontId="1" fillId="3" borderId="0" xfId="8" applyFont="1" applyFill="1"/>
    <xf numFmtId="44" fontId="38" fillId="3" borderId="0" xfId="8" applyFont="1" applyFill="1"/>
    <xf numFmtId="0" fontId="1" fillId="20" borderId="0" xfId="0" applyFont="1" applyFill="1"/>
    <xf numFmtId="1" fontId="1" fillId="3" borderId="0" xfId="0" applyNumberFormat="1" applyFont="1" applyFill="1"/>
    <xf numFmtId="0" fontId="1" fillId="3" borderId="0" xfId="0" applyFont="1" applyFill="1"/>
    <xf numFmtId="2" fontId="1" fillId="3" borderId="0" xfId="0" applyNumberFormat="1" applyFont="1" applyFill="1" applyBorder="1"/>
    <xf numFmtId="9" fontId="1" fillId="3" borderId="0" xfId="0" applyNumberFormat="1" applyFont="1" applyFill="1" applyBorder="1"/>
    <xf numFmtId="2" fontId="38" fillId="3" borderId="0" xfId="0" applyNumberFormat="1" applyFont="1" applyFill="1" applyBorder="1"/>
    <xf numFmtId="44" fontId="1" fillId="3" borderId="0" xfId="8" applyFont="1" applyFill="1" applyBorder="1"/>
    <xf numFmtId="0" fontId="0" fillId="3" borderId="0" xfId="0" applyFill="1" applyBorder="1"/>
    <xf numFmtId="2" fontId="0" fillId="3" borderId="0" xfId="0" applyNumberFormat="1" applyFill="1" applyBorder="1"/>
    <xf numFmtId="44" fontId="0" fillId="3" borderId="0" xfId="0" applyNumberFormat="1" applyFill="1" applyBorder="1"/>
    <xf numFmtId="9" fontId="0" fillId="3" borderId="0" xfId="1" applyFont="1" applyFill="1" applyBorder="1"/>
    <xf numFmtId="1" fontId="0" fillId="3" borderId="0" xfId="1" applyNumberFormat="1" applyFont="1" applyFill="1" applyBorder="1"/>
    <xf numFmtId="9" fontId="1" fillId="3" borderId="0" xfId="0" applyNumberFormat="1" applyFont="1" applyFill="1"/>
    <xf numFmtId="17" fontId="36" fillId="3" borderId="0" xfId="0" applyNumberFormat="1" applyFont="1" applyFill="1"/>
    <xf numFmtId="44" fontId="36" fillId="3" borderId="0" xfId="8" applyFont="1" applyFill="1"/>
    <xf numFmtId="0" fontId="36" fillId="20" borderId="0" xfId="0" applyFont="1" applyFill="1"/>
    <xf numFmtId="1" fontId="36" fillId="3" borderId="0" xfId="0" applyNumberFormat="1" applyFont="1" applyFill="1"/>
    <xf numFmtId="0" fontId="36" fillId="3" borderId="0" xfId="0" applyFont="1" applyFill="1"/>
    <xf numFmtId="0" fontId="25" fillId="3" borderId="0" xfId="0" applyFont="1" applyFill="1" applyBorder="1"/>
    <xf numFmtId="2" fontId="25" fillId="3" borderId="0" xfId="0" applyNumberFormat="1" applyFont="1" applyFill="1" applyBorder="1"/>
    <xf numFmtId="44" fontId="25" fillId="3" borderId="0" xfId="0" applyNumberFormat="1" applyFont="1" applyFill="1" applyBorder="1"/>
    <xf numFmtId="9" fontId="25" fillId="3" borderId="0" xfId="1" applyFont="1" applyFill="1" applyBorder="1"/>
    <xf numFmtId="1" fontId="25" fillId="3" borderId="0" xfId="1" applyNumberFormat="1" applyFont="1" applyFill="1" applyBorder="1"/>
    <xf numFmtId="0" fontId="36" fillId="0" borderId="0" xfId="0" applyFont="1"/>
    <xf numFmtId="0" fontId="37" fillId="20" borderId="0" xfId="0" applyFont="1" applyFill="1"/>
    <xf numFmtId="0" fontId="38" fillId="20" borderId="0" xfId="0" applyFont="1" applyFill="1"/>
    <xf numFmtId="1" fontId="37" fillId="2" borderId="0" xfId="0" applyNumberFormat="1" applyFont="1" applyFill="1"/>
    <xf numFmtId="0" fontId="0" fillId="2" borderId="0" xfId="0" applyFill="1" applyBorder="1"/>
    <xf numFmtId="2" fontId="0" fillId="2" borderId="0" xfId="0" applyNumberFormat="1" applyFill="1" applyBorder="1"/>
    <xf numFmtId="44" fontId="0" fillId="2" borderId="0" xfId="0" applyNumberFormat="1" applyFill="1" applyBorder="1"/>
    <xf numFmtId="9" fontId="0" fillId="2" borderId="0" xfId="1" applyFont="1" applyFill="1" applyBorder="1"/>
    <xf numFmtId="1" fontId="0" fillId="2" borderId="0" xfId="1" applyNumberFormat="1" applyFont="1" applyFill="1" applyBorder="1"/>
    <xf numFmtId="1" fontId="38" fillId="2" borderId="0" xfId="0" applyNumberFormat="1" applyFont="1" applyFill="1"/>
    <xf numFmtId="17" fontId="36" fillId="2" borderId="0" xfId="0" applyNumberFormat="1" applyFont="1" applyFill="1"/>
    <xf numFmtId="44" fontId="36" fillId="2" borderId="0" xfId="8" applyFont="1" applyFill="1"/>
    <xf numFmtId="1" fontId="36" fillId="2" borderId="0" xfId="0" applyNumberFormat="1" applyFont="1" applyFill="1"/>
    <xf numFmtId="0" fontId="36" fillId="2" borderId="0" xfId="0" applyFont="1" applyFill="1"/>
    <xf numFmtId="1" fontId="38" fillId="3" borderId="0" xfId="0" applyNumberFormat="1" applyFont="1" applyFill="1"/>
    <xf numFmtId="44" fontId="42" fillId="2" borderId="0" xfId="8" applyFont="1" applyFill="1"/>
    <xf numFmtId="44" fontId="42" fillId="3" borderId="0" xfId="8" applyFont="1" applyFill="1"/>
    <xf numFmtId="0" fontId="0" fillId="2" borderId="0" xfId="0" applyFont="1" applyFill="1" applyBorder="1"/>
    <xf numFmtId="2" fontId="0" fillId="2" borderId="0" xfId="0" applyNumberFormat="1" applyFont="1" applyFill="1" applyBorder="1"/>
    <xf numFmtId="44" fontId="0" fillId="2" borderId="0" xfId="0" applyNumberFormat="1" applyFont="1" applyFill="1" applyBorder="1"/>
    <xf numFmtId="9" fontId="2" fillId="2" borderId="0" xfId="1" applyFont="1" applyFill="1" applyBorder="1"/>
    <xf numFmtId="1" fontId="2" fillId="2" borderId="0" xfId="1" applyNumberFormat="1" applyFont="1" applyFill="1" applyBorder="1"/>
    <xf numFmtId="44" fontId="0" fillId="18" borderId="0" xfId="0" applyNumberFormat="1" applyFont="1" applyFill="1"/>
    <xf numFmtId="44" fontId="0" fillId="14" borderId="0" xfId="0" applyNumberFormat="1" applyFont="1" applyFill="1"/>
    <xf numFmtId="44" fontId="0" fillId="19" borderId="0" xfId="0" applyNumberFormat="1" applyFont="1" applyFill="1"/>
    <xf numFmtId="0" fontId="1" fillId="3" borderId="0" xfId="0" applyNumberFormat="1" applyFont="1" applyFill="1"/>
    <xf numFmtId="14" fontId="1" fillId="3" borderId="0" xfId="0" applyNumberFormat="1" applyFont="1" applyFill="1"/>
    <xf numFmtId="2" fontId="1" fillId="0" borderId="0" xfId="0" applyNumberFormat="1" applyFont="1"/>
    <xf numFmtId="44" fontId="1" fillId="0" borderId="0" xfId="8" applyFont="1" applyFill="1"/>
    <xf numFmtId="2" fontId="1" fillId="0" borderId="0" xfId="0" applyNumberFormat="1" applyFont="1" applyFill="1"/>
    <xf numFmtId="9" fontId="1" fillId="0" borderId="0" xfId="1" applyFont="1" applyFill="1"/>
    <xf numFmtId="1" fontId="1" fillId="0" borderId="0" xfId="1" applyNumberFormat="1" applyFont="1" applyFill="1"/>
    <xf numFmtId="0" fontId="38" fillId="12" borderId="0" xfId="0" applyFont="1" applyFill="1"/>
    <xf numFmtId="0" fontId="38" fillId="12" borderId="0" xfId="0" applyNumberFormat="1" applyFont="1" applyFill="1"/>
    <xf numFmtId="0" fontId="36" fillId="12" borderId="0" xfId="0" applyFont="1" applyFill="1"/>
    <xf numFmtId="9" fontId="36" fillId="12" borderId="0" xfId="0" applyNumberFormat="1" applyFont="1" applyFill="1"/>
    <xf numFmtId="44" fontId="36" fillId="12" borderId="0" xfId="8" applyFont="1" applyFill="1"/>
    <xf numFmtId="2" fontId="36" fillId="10" borderId="0" xfId="0" applyNumberFormat="1" applyFont="1" applyFill="1"/>
    <xf numFmtId="168" fontId="36" fillId="10" borderId="0" xfId="0" applyNumberFormat="1" applyFont="1" applyFill="1"/>
    <xf numFmtId="0" fontId="1" fillId="11" borderId="0" xfId="0" applyFont="1" applyFill="1"/>
    <xf numFmtId="2" fontId="1" fillId="11" borderId="0" xfId="0" applyNumberFormat="1" applyFont="1" applyFill="1"/>
    <xf numFmtId="44" fontId="1" fillId="11" borderId="0" xfId="0" applyNumberFormat="1" applyFont="1" applyFill="1"/>
    <xf numFmtId="0" fontId="1" fillId="11" borderId="0" xfId="0" applyNumberFormat="1" applyFont="1" applyFill="1"/>
    <xf numFmtId="44" fontId="36" fillId="18" borderId="0" xfId="0" applyNumberFormat="1" applyFont="1" applyFill="1"/>
    <xf numFmtId="44" fontId="42" fillId="14" borderId="0" xfId="0" applyNumberFormat="1" applyFont="1" applyFill="1"/>
    <xf numFmtId="44" fontId="1" fillId="19" borderId="0" xfId="0" applyNumberFormat="1" applyFont="1" applyFill="1"/>
    <xf numFmtId="9" fontId="1" fillId="0" borderId="0" xfId="0" applyNumberFormat="1" applyFont="1"/>
    <xf numFmtId="0" fontId="1" fillId="12" borderId="0" xfId="0" applyFont="1" applyFill="1"/>
    <xf numFmtId="0" fontId="1" fillId="12" borderId="0" xfId="0" applyNumberFormat="1" applyFont="1" applyFill="1"/>
    <xf numFmtId="0" fontId="1" fillId="10" borderId="0" xfId="0" applyFont="1" applyFill="1"/>
    <xf numFmtId="166" fontId="1" fillId="10" borderId="0" xfId="0" applyNumberFormat="1" applyFont="1" applyFill="1" applyAlignment="1"/>
    <xf numFmtId="166" fontId="1" fillId="0" borderId="0" xfId="0" applyNumberFormat="1" applyFont="1" applyFill="1" applyAlignment="1"/>
    <xf numFmtId="166" fontId="1" fillId="0" borderId="0" xfId="0" applyNumberFormat="1" applyFont="1" applyAlignment="1"/>
    <xf numFmtId="1" fontId="1" fillId="0" borderId="0" xfId="0" applyNumberFormat="1" applyFont="1" applyFill="1"/>
    <xf numFmtId="9" fontId="36" fillId="12" borderId="0" xfId="8" applyNumberFormat="1" applyFont="1" applyFill="1"/>
    <xf numFmtId="1" fontId="1" fillId="0" borderId="0" xfId="0" applyNumberFormat="1" applyFont="1" applyBorder="1"/>
    <xf numFmtId="170" fontId="1" fillId="0" borderId="0" xfId="0" applyNumberFormat="1" applyFont="1" applyFill="1"/>
    <xf numFmtId="168" fontId="1" fillId="0" borderId="0" xfId="0" applyNumberFormat="1" applyFont="1"/>
    <xf numFmtId="168" fontId="36" fillId="0" borderId="0" xfId="0" applyNumberFormat="1" applyFont="1" applyFill="1"/>
    <xf numFmtId="166" fontId="1" fillId="0" borderId="0" xfId="0" applyNumberFormat="1" applyFont="1"/>
    <xf numFmtId="0" fontId="47" fillId="0" borderId="0" xfId="0" applyFont="1" applyProtection="1"/>
    <xf numFmtId="1" fontId="1" fillId="0" borderId="0" xfId="0" applyNumberFormat="1" applyFont="1"/>
    <xf numFmtId="175" fontId="0" fillId="0" borderId="14" xfId="0" applyNumberFormat="1" applyBorder="1"/>
    <xf numFmtId="1" fontId="0" fillId="0" borderId="27" xfId="0" applyNumberFormat="1" applyBorder="1"/>
    <xf numFmtId="0" fontId="5" fillId="0" borderId="3" xfId="0" applyFont="1" applyFill="1" applyBorder="1" applyAlignment="1">
      <alignment vertical="top"/>
    </xf>
    <xf numFmtId="0" fontId="5" fillId="0" borderId="3" xfId="0" applyFont="1" applyFill="1" applyBorder="1" applyAlignment="1">
      <alignment vertical="top" wrapText="1"/>
    </xf>
    <xf numFmtId="8" fontId="5" fillId="0" borderId="3" xfId="0" applyNumberFormat="1" applyFont="1" applyFill="1" applyBorder="1" applyAlignment="1">
      <alignment horizontal="center" vertical="top"/>
    </xf>
    <xf numFmtId="0" fontId="5" fillId="0" borderId="0" xfId="0" applyFont="1" applyAlignment="1">
      <alignment horizontal="left" vertical="top" wrapText="1"/>
    </xf>
    <xf numFmtId="0" fontId="5" fillId="0" borderId="7" xfId="0" applyFont="1" applyBorder="1" applyAlignment="1">
      <alignment horizontal="left"/>
    </xf>
    <xf numFmtId="0" fontId="5" fillId="0" borderId="9" xfId="0" applyFont="1" applyBorder="1" applyAlignment="1">
      <alignment horizontal="left"/>
    </xf>
    <xf numFmtId="0" fontId="5" fillId="0" borderId="3" xfId="0" applyFont="1" applyBorder="1" applyAlignment="1">
      <alignment horizontal="center" vertical="top" wrapText="1"/>
    </xf>
    <xf numFmtId="0" fontId="5" fillId="0" borderId="3" xfId="0" applyFont="1" applyBorder="1" applyAlignment="1">
      <alignment vertical="top" wrapText="1"/>
    </xf>
    <xf numFmtId="0" fontId="5" fillId="0" borderId="15" xfId="0" applyFont="1" applyBorder="1" applyAlignment="1">
      <alignment horizontal="left" vertical="top" wrapText="1"/>
    </xf>
    <xf numFmtId="0" fontId="5" fillId="0" borderId="1"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6" fillId="6" borderId="3" xfId="0" applyFont="1" applyFill="1" applyBorder="1" applyAlignment="1">
      <alignment horizontal="left" vertical="top"/>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6" fillId="6" borderId="7" xfId="0" applyFont="1" applyFill="1" applyBorder="1" applyAlignment="1">
      <alignment horizontal="left" vertical="top"/>
    </xf>
    <xf numFmtId="0" fontId="6" fillId="6" borderId="9" xfId="0" applyFont="1" applyFill="1" applyBorder="1" applyAlignment="1">
      <alignment horizontal="left" vertical="top"/>
    </xf>
    <xf numFmtId="0" fontId="5" fillId="0" borderId="7" xfId="0" applyFont="1" applyBorder="1" applyAlignment="1">
      <alignment horizontal="left" vertical="top"/>
    </xf>
    <xf numFmtId="0" fontId="5" fillId="0" borderId="9"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6" borderId="3" xfId="0" applyFont="1" applyFill="1" applyBorder="1" applyAlignment="1">
      <alignment horizontal="center" vertical="center"/>
    </xf>
    <xf numFmtId="0" fontId="6" fillId="6" borderId="21" xfId="0"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21" xfId="0" applyFont="1" applyFill="1" applyBorder="1" applyAlignment="1">
      <alignment horizontal="left" vertical="top"/>
    </xf>
    <xf numFmtId="0" fontId="6" fillId="6" borderId="20" xfId="0" applyFont="1" applyFill="1" applyBorder="1" applyAlignment="1">
      <alignment horizontal="left" vertical="top"/>
    </xf>
    <xf numFmtId="0" fontId="19" fillId="2" borderId="15" xfId="4" applyFont="1" applyFill="1" applyBorder="1" applyAlignment="1">
      <alignment horizontal="left" vertical="top"/>
    </xf>
    <xf numFmtId="0" fontId="19" fillId="2" borderId="16" xfId="4" applyFont="1" applyFill="1" applyBorder="1" applyAlignment="1">
      <alignment horizontal="left" vertical="top"/>
    </xf>
    <xf numFmtId="0" fontId="19" fillId="2" borderId="17" xfId="4" applyFont="1" applyFill="1" applyBorder="1" applyAlignment="1">
      <alignment horizontal="left" vertical="top"/>
    </xf>
    <xf numFmtId="0" fontId="19" fillId="2" borderId="19" xfId="4" applyFont="1" applyFill="1" applyBorder="1" applyAlignment="1">
      <alignment horizontal="left" vertical="top"/>
    </xf>
    <xf numFmtId="0" fontId="17" fillId="2" borderId="3" xfId="4" applyFont="1" applyFill="1" applyBorder="1" applyAlignment="1">
      <alignment horizontal="center" vertical="center" wrapText="1"/>
    </xf>
    <xf numFmtId="0" fontId="36" fillId="12" borderId="7" xfId="0" applyFont="1" applyFill="1" applyBorder="1" applyAlignment="1">
      <alignment horizontal="center"/>
    </xf>
    <xf numFmtId="0" fontId="36" fillId="12" borderId="8" xfId="0" applyFont="1" applyFill="1" applyBorder="1" applyAlignment="1">
      <alignment horizontal="center"/>
    </xf>
    <xf numFmtId="0" fontId="36" fillId="12" borderId="9" xfId="0" applyFont="1" applyFill="1" applyBorder="1" applyAlignment="1">
      <alignment horizontal="center"/>
    </xf>
    <xf numFmtId="0" fontId="36" fillId="10" borderId="7" xfId="0" applyFont="1" applyFill="1" applyBorder="1" applyAlignment="1">
      <alignment horizontal="center"/>
    </xf>
    <xf numFmtId="0" fontId="36" fillId="10" borderId="8" xfId="0" applyFont="1" applyFill="1" applyBorder="1" applyAlignment="1">
      <alignment horizontal="center"/>
    </xf>
    <xf numFmtId="0" fontId="36" fillId="10" borderId="9" xfId="0" applyFont="1" applyFill="1" applyBorder="1" applyAlignment="1">
      <alignment horizontal="center"/>
    </xf>
    <xf numFmtId="0" fontId="36" fillId="11" borderId="3" xfId="0" applyFont="1" applyFill="1" applyBorder="1" applyAlignment="1">
      <alignment horizontal="center"/>
    </xf>
    <xf numFmtId="0" fontId="36" fillId="0" borderId="0" xfId="0" applyFont="1" applyFill="1" applyBorder="1" applyAlignment="1">
      <alignment horizontal="center"/>
    </xf>
    <xf numFmtId="0" fontId="1" fillId="15" borderId="7" xfId="0" applyFont="1" applyFill="1" applyBorder="1" applyAlignment="1">
      <alignment horizontal="center" wrapText="1"/>
    </xf>
    <xf numFmtId="0" fontId="1" fillId="15" borderId="8" xfId="0" applyFont="1" applyFill="1" applyBorder="1" applyAlignment="1">
      <alignment horizontal="center" wrapText="1"/>
    </xf>
    <xf numFmtId="0" fontId="1" fillId="15" borderId="9" xfId="0" applyFont="1" applyFill="1" applyBorder="1" applyAlignment="1">
      <alignment horizontal="center" wrapText="1"/>
    </xf>
    <xf numFmtId="0" fontId="26" fillId="9" borderId="16" xfId="0" applyFont="1" applyFill="1" applyBorder="1" applyAlignment="1" applyProtection="1">
      <alignment horizontal="center" vertical="center" textRotation="90"/>
    </xf>
    <xf numFmtId="0" fontId="26" fillId="9" borderId="23" xfId="0" applyFont="1" applyFill="1" applyBorder="1" applyAlignment="1" applyProtection="1">
      <alignment horizontal="center" vertical="center" textRotation="90"/>
    </xf>
    <xf numFmtId="0" fontId="26" fillId="9" borderId="19" xfId="0" applyFont="1" applyFill="1" applyBorder="1" applyAlignment="1" applyProtection="1">
      <alignment horizontal="center" vertical="center" textRotation="90"/>
    </xf>
    <xf numFmtId="0" fontId="26" fillId="9" borderId="22" xfId="0" applyFont="1" applyFill="1" applyBorder="1" applyAlignment="1" applyProtection="1">
      <alignment horizontal="center" vertical="center" textRotation="90" wrapText="1"/>
    </xf>
    <xf numFmtId="0" fontId="26" fillId="9" borderId="20" xfId="0" applyFont="1" applyFill="1" applyBorder="1" applyAlignment="1" applyProtection="1">
      <alignment horizontal="center" vertical="center" textRotation="90" wrapText="1"/>
    </xf>
    <xf numFmtId="0" fontId="26" fillId="9" borderId="4" xfId="0" applyFont="1" applyFill="1" applyBorder="1" applyAlignment="1" applyProtection="1">
      <alignment horizontal="center" vertical="center" textRotation="90" wrapText="1"/>
    </xf>
    <xf numFmtId="0" fontId="26" fillId="9" borderId="5" xfId="0" applyFont="1" applyFill="1" applyBorder="1" applyAlignment="1" applyProtection="1">
      <alignment horizontal="center" vertical="center" textRotation="90" wrapText="1"/>
    </xf>
    <xf numFmtId="0" fontId="26" fillId="9" borderId="2" xfId="0" applyFont="1" applyFill="1" applyBorder="1" applyAlignment="1" applyProtection="1">
      <alignment horizontal="center" vertical="center" textRotation="90" wrapText="1"/>
    </xf>
    <xf numFmtId="0" fontId="23" fillId="9" borderId="5" xfId="0" applyFont="1" applyFill="1" applyBorder="1" applyAlignment="1" applyProtection="1">
      <alignment horizontal="center" vertical="center" textRotation="90" wrapText="1"/>
    </xf>
  </cellXfs>
  <cellStyles count="9">
    <cellStyle name="=C:\WINNT\SYSTEM32\COMMAND.COM 6" xfId="4"/>
    <cellStyle name="Comma" xfId="7" builtinId="3"/>
    <cellStyle name="Comma 4" xfId="5"/>
    <cellStyle name="Currency" xfId="8" builtinId="4"/>
    <cellStyle name="Hyperlink" xfId="6" builtinId="8"/>
    <cellStyle name="Normal" xfId="0" builtinId="0"/>
    <cellStyle name="Normal 20" xfId="2"/>
    <cellStyle name="Normal 3" xfId="3"/>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4.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Operations_Depots\Programmes%20Group%20North\Tree%20Cutting\Harvesting\002%20Live%20Line%20Programme\000%20-%20LLH%20Cost%20Benefit%20tracker\Live%20harvesting%20Benefits%20Tracker%202016\Live%20Line%20Harvester%20Benefits%20Tracker%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ive%20Line%20Harvester%20Benefits%20Tracker%202017%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A"/>
      <sheetName val="Ardmarnock"/>
      <sheetName val="Lix Toll"/>
      <sheetName val="Tillypronie Sawmill"/>
      <sheetName val="Tillypronie Coronation Wood"/>
      <sheetName val="Kinniard"/>
      <sheetName val="Achnaba"/>
      <sheetName val="Gartocharn"/>
      <sheetName val="Cnochan a Chorra"/>
      <sheetName val="Kyles View"/>
      <sheetName val="Hells Glen"/>
      <sheetName val="Ardoch"/>
      <sheetName val="Littleport"/>
      <sheetName val="Tiroran"/>
      <sheetName val="Dalchork"/>
      <sheetName val="Achfarry"/>
      <sheetName val="Shinnach"/>
      <sheetName val="Geny Guidance"/>
      <sheetName val="Ready Reckoner"/>
      <sheetName val="Sheet1"/>
      <sheetName val="Sheet2"/>
    </sheetNames>
    <sheetDataSet>
      <sheetData sheetId="0" refreshError="1"/>
      <sheetData sheetId="1">
        <row r="26">
          <cell r="G26">
            <v>43582</v>
          </cell>
        </row>
        <row r="32">
          <cell r="G32">
            <v>3244</v>
          </cell>
        </row>
      </sheetData>
      <sheetData sheetId="2"/>
      <sheetData sheetId="3">
        <row r="26">
          <cell r="G26">
            <v>46956.086857142858</v>
          </cell>
        </row>
        <row r="32">
          <cell r="G32">
            <v>26296</v>
          </cell>
        </row>
      </sheetData>
      <sheetData sheetId="4"/>
      <sheetData sheetId="5">
        <row r="26">
          <cell r="G26">
            <v>5402</v>
          </cell>
        </row>
        <row r="32">
          <cell r="G32">
            <v>5370</v>
          </cell>
        </row>
      </sheetData>
      <sheetData sheetId="6">
        <row r="26">
          <cell r="G26">
            <v>13045</v>
          </cell>
        </row>
        <row r="32">
          <cell r="G32">
            <v>2440</v>
          </cell>
        </row>
        <row r="33">
          <cell r="R33">
            <v>3800</v>
          </cell>
        </row>
      </sheetData>
      <sheetData sheetId="7"/>
      <sheetData sheetId="8">
        <row r="26">
          <cell r="G26">
            <v>71100</v>
          </cell>
        </row>
        <row r="32">
          <cell r="G32">
            <v>11560</v>
          </cell>
        </row>
      </sheetData>
      <sheetData sheetId="9">
        <row r="26">
          <cell r="G26">
            <v>30557.933714285715</v>
          </cell>
        </row>
        <row r="32">
          <cell r="G32">
            <v>7376</v>
          </cell>
        </row>
        <row r="33">
          <cell r="R33">
            <v>3000</v>
          </cell>
        </row>
      </sheetData>
      <sheetData sheetId="10">
        <row r="26">
          <cell r="G26">
            <v>59268.571428571428</v>
          </cell>
        </row>
        <row r="32">
          <cell r="G32">
            <v>9476</v>
          </cell>
        </row>
      </sheetData>
      <sheetData sheetId="11">
        <row r="26">
          <cell r="G26">
            <v>21036.909714285714</v>
          </cell>
        </row>
        <row r="32">
          <cell r="G32">
            <v>5120</v>
          </cell>
        </row>
      </sheetData>
      <sheetData sheetId="12">
        <row r="26">
          <cell r="G26">
            <v>14099.428571428572</v>
          </cell>
        </row>
        <row r="32">
          <cell r="G32">
            <v>7088</v>
          </cell>
        </row>
      </sheetData>
      <sheetData sheetId="13">
        <row r="26">
          <cell r="G26">
            <v>85888</v>
          </cell>
        </row>
        <row r="32">
          <cell r="G32">
            <v>17104</v>
          </cell>
        </row>
      </sheetData>
      <sheetData sheetId="14">
        <row r="26">
          <cell r="G26">
            <v>194420</v>
          </cell>
        </row>
        <row r="32">
          <cell r="G32">
            <v>22992</v>
          </cell>
        </row>
      </sheetData>
      <sheetData sheetId="15"/>
      <sheetData sheetId="16">
        <row r="26">
          <cell r="G26">
            <v>36359</v>
          </cell>
        </row>
        <row r="32">
          <cell r="G32">
            <v>3100</v>
          </cell>
        </row>
      </sheetData>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A"/>
      <sheetName val="Conerock"/>
      <sheetName val="Balquidder"/>
      <sheetName val="Rannoch"/>
      <sheetName val="Kennelhill"/>
      <sheetName val="Ord"/>
      <sheetName val="Ormidale"/>
      <sheetName val="Balnafoich"/>
      <sheetName val="Ardlamont"/>
      <sheetName val="Barevan"/>
      <sheetName val="Killdrummy"/>
      <sheetName val="Lindsaig"/>
      <sheetName val="Ardlamont 2"/>
      <sheetName val="Inver"/>
      <sheetName val="Dalmally"/>
      <sheetName val="Roy Bridge"/>
      <sheetName val="Dalmally 2"/>
      <sheetName val="Duncrub"/>
      <sheetName val="Clachaig"/>
      <sheetName val="Rowardennon"/>
      <sheetName val="Culdrain"/>
      <sheetName val="Glen Eagles"/>
      <sheetName val="Dores"/>
      <sheetName val="Geny Guidance"/>
      <sheetName val="Ready Reckoner &amp; Data"/>
    </sheetNames>
    <sheetDataSet>
      <sheetData sheetId="0"/>
      <sheetData sheetId="1">
        <row r="26">
          <cell r="G26">
            <v>3722.7359999999999</v>
          </cell>
        </row>
        <row r="32">
          <cell r="G32">
            <v>2084</v>
          </cell>
        </row>
      </sheetData>
      <sheetData sheetId="2">
        <row r="26">
          <cell r="G26">
            <v>18917.736000000001</v>
          </cell>
        </row>
        <row r="32">
          <cell r="G32">
            <v>2900</v>
          </cell>
        </row>
      </sheetData>
      <sheetData sheetId="3">
        <row r="26">
          <cell r="G26">
            <v>49890.063999999998</v>
          </cell>
        </row>
        <row r="32">
          <cell r="G32">
            <v>10696</v>
          </cell>
        </row>
      </sheetData>
      <sheetData sheetId="4">
        <row r="26">
          <cell r="G26">
            <v>89664.265599999999</v>
          </cell>
        </row>
        <row r="32">
          <cell r="G32">
            <v>20256</v>
          </cell>
        </row>
      </sheetData>
      <sheetData sheetId="5">
        <row r="26">
          <cell r="G26">
            <v>88338.207999999999</v>
          </cell>
        </row>
        <row r="32">
          <cell r="G32">
            <v>7388</v>
          </cell>
        </row>
      </sheetData>
      <sheetData sheetId="6">
        <row r="26">
          <cell r="G26">
            <v>63925</v>
          </cell>
        </row>
        <row r="32">
          <cell r="G32">
            <v>8068</v>
          </cell>
        </row>
      </sheetData>
      <sheetData sheetId="7">
        <row r="26">
          <cell r="G26">
            <v>46298.399999999994</v>
          </cell>
        </row>
        <row r="32">
          <cell r="G32">
            <v>39480</v>
          </cell>
        </row>
      </sheetData>
      <sheetData sheetId="8">
        <row r="26">
          <cell r="G26">
            <v>34745.536</v>
          </cell>
        </row>
        <row r="32">
          <cell r="G32">
            <v>14344</v>
          </cell>
        </row>
      </sheetData>
      <sheetData sheetId="9">
        <row r="26">
          <cell r="G26">
            <v>64089.120000000003</v>
          </cell>
        </row>
        <row r="32">
          <cell r="G32">
            <v>9064</v>
          </cell>
        </row>
      </sheetData>
      <sheetData sheetId="10"/>
      <sheetData sheetId="11">
        <row r="26">
          <cell r="G26">
            <v>13985.912</v>
          </cell>
        </row>
        <row r="32">
          <cell r="G32">
            <v>2084</v>
          </cell>
        </row>
      </sheetData>
      <sheetData sheetId="12"/>
      <sheetData sheetId="13">
        <row r="26">
          <cell r="G26">
            <v>50648.68</v>
          </cell>
        </row>
        <row r="32">
          <cell r="G32">
            <v>5916</v>
          </cell>
        </row>
      </sheetData>
      <sheetData sheetId="14">
        <row r="26">
          <cell r="G26">
            <v>71995.132799999992</v>
          </cell>
        </row>
        <row r="32">
          <cell r="G32">
            <v>6432</v>
          </cell>
        </row>
      </sheetData>
      <sheetData sheetId="15">
        <row r="26">
          <cell r="G26">
            <v>57857.296000000002</v>
          </cell>
        </row>
        <row r="32">
          <cell r="G32">
            <v>5416</v>
          </cell>
        </row>
      </sheetData>
      <sheetData sheetId="16">
        <row r="26">
          <cell r="G26">
            <v>27298.3776</v>
          </cell>
        </row>
        <row r="32">
          <cell r="G32">
            <v>4832</v>
          </cell>
        </row>
      </sheetData>
      <sheetData sheetId="17">
        <row r="26">
          <cell r="G26">
            <v>31235.472000000002</v>
          </cell>
        </row>
        <row r="32">
          <cell r="G32">
            <v>3944</v>
          </cell>
        </row>
      </sheetData>
      <sheetData sheetId="18"/>
      <sheetData sheetId="19">
        <row r="26">
          <cell r="G26">
            <v>29753.648000000001</v>
          </cell>
        </row>
        <row r="32">
          <cell r="G32">
            <v>4712</v>
          </cell>
        </row>
      </sheetData>
      <sheetData sheetId="20">
        <row r="26">
          <cell r="G26">
            <v>1889.0944</v>
          </cell>
        </row>
        <row r="32">
          <cell r="G32">
            <v>1612</v>
          </cell>
        </row>
      </sheetData>
      <sheetData sheetId="21"/>
      <sheetData sheetId="22">
        <row r="26">
          <cell r="G26">
            <v>52880</v>
          </cell>
        </row>
        <row r="32">
          <cell r="G32">
            <v>4712</v>
          </cell>
        </row>
      </sheetData>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4.xml"/><Relationship Id="rId4"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5.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228</v>
      </c>
      <c r="C2" s="101" t="s">
        <v>236</v>
      </c>
      <c r="D2" s="101" t="s">
        <v>235</v>
      </c>
      <c r="E2" s="101" t="s">
        <v>229</v>
      </c>
    </row>
    <row r="3" spans="1:5" s="100" customFormat="1" ht="62.25" customHeight="1" x14ac:dyDescent="0.25">
      <c r="B3" s="102" t="s">
        <v>230</v>
      </c>
      <c r="C3" s="102" t="s">
        <v>233</v>
      </c>
      <c r="D3" s="102"/>
      <c r="E3" s="103" t="s">
        <v>234</v>
      </c>
    </row>
    <row r="4" spans="1:5" s="100" customFormat="1" ht="62.25" customHeight="1" x14ac:dyDescent="0.25">
      <c r="B4" s="102" t="s">
        <v>231</v>
      </c>
      <c r="C4" s="102" t="s">
        <v>237</v>
      </c>
      <c r="D4" s="104">
        <v>41352</v>
      </c>
      <c r="E4" s="102" t="s">
        <v>238</v>
      </c>
    </row>
    <row r="5" spans="1:5" s="100" customFormat="1" ht="84" customHeight="1" x14ac:dyDescent="0.25">
      <c r="B5" s="102" t="s">
        <v>232</v>
      </c>
      <c r="C5" s="102" t="s">
        <v>243</v>
      </c>
      <c r="D5" s="104" t="s">
        <v>239</v>
      </c>
      <c r="E5" s="102" t="s">
        <v>240</v>
      </c>
    </row>
    <row r="6" spans="1:5" ht="111" customHeight="1" x14ac:dyDescent="0.25">
      <c r="A6" s="129"/>
      <c r="B6" s="130" t="s">
        <v>241</v>
      </c>
      <c r="C6" s="130" t="s">
        <v>242</v>
      </c>
      <c r="D6" s="131">
        <v>41380</v>
      </c>
      <c r="E6" s="130" t="s">
        <v>309</v>
      </c>
    </row>
    <row r="7" spans="1:5" ht="21.75" customHeight="1" x14ac:dyDescent="0.25">
      <c r="B7" s="133"/>
      <c r="C7" s="133"/>
      <c r="D7" s="134">
        <v>41393</v>
      </c>
      <c r="E7" s="133" t="s">
        <v>332</v>
      </c>
    </row>
    <row r="8" spans="1:5" ht="21.75" customHeight="1" x14ac:dyDescent="0.25">
      <c r="D8" s="134">
        <v>41649</v>
      </c>
      <c r="E8" s="136" t="s">
        <v>333</v>
      </c>
    </row>
    <row r="9" spans="1:5" ht="21.75" customHeight="1" x14ac:dyDescent="0.25">
      <c r="D9" s="134">
        <v>41649</v>
      </c>
      <c r="E9" s="133" t="s">
        <v>336</v>
      </c>
    </row>
    <row r="10" spans="1:5" ht="21.75" customHeight="1" x14ac:dyDescent="0.25">
      <c r="D10" s="134">
        <v>41649</v>
      </c>
      <c r="E10" s="133" t="s">
        <v>337</v>
      </c>
    </row>
    <row r="11" spans="1:5" x14ac:dyDescent="0.25">
      <c r="B11" s="132"/>
      <c r="C11" s="132"/>
      <c r="D11" s="132"/>
      <c r="E11" s="13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AN63"/>
  <sheetViews>
    <sheetView topLeftCell="A13" zoomScale="70" zoomScaleNormal="70" workbookViewId="0">
      <selection activeCell="C50" sqref="C50"/>
    </sheetView>
  </sheetViews>
  <sheetFormatPr defaultRowHeight="15" x14ac:dyDescent="0.25"/>
  <cols>
    <col min="1" max="1" width="10.85546875" bestFit="1" customWidth="1"/>
    <col min="2" max="2" width="26" bestFit="1" customWidth="1"/>
    <col min="3" max="3" width="18.140625" customWidth="1"/>
    <col min="4" max="4" width="20" bestFit="1" customWidth="1"/>
    <col min="5" max="5" width="16.28515625" bestFit="1" customWidth="1"/>
    <col min="6" max="6" width="18.140625" bestFit="1" customWidth="1"/>
    <col min="7" max="7" width="17.85546875" bestFit="1" customWidth="1"/>
    <col min="8" max="8" width="14.85546875" bestFit="1" customWidth="1"/>
    <col min="9" max="9" width="15" bestFit="1" customWidth="1"/>
    <col min="10" max="10" width="12.28515625" bestFit="1" customWidth="1"/>
    <col min="11" max="11" width="12.28515625" customWidth="1"/>
    <col min="12" max="12" width="17.42578125" bestFit="1" customWidth="1"/>
    <col min="13" max="13" width="17.140625" bestFit="1" customWidth="1"/>
    <col min="14" max="14" width="12" bestFit="1" customWidth="1"/>
    <col min="15" max="15" width="15" bestFit="1" customWidth="1"/>
    <col min="16" max="16" width="17" customWidth="1"/>
    <col min="17" max="17" width="22.28515625" bestFit="1" customWidth="1"/>
    <col min="18" max="18" width="14.140625" customWidth="1"/>
    <col min="19" max="24" width="13.140625" customWidth="1"/>
    <col min="25" max="25" width="16.42578125" customWidth="1"/>
    <col min="26" max="27" width="14.28515625" customWidth="1"/>
    <col min="28" max="28" width="13.7109375" customWidth="1"/>
    <col min="29" max="29" width="19.140625" bestFit="1" customWidth="1"/>
    <col min="30" max="30" width="14.28515625" bestFit="1" customWidth="1"/>
    <col min="31" max="31" width="19.42578125" bestFit="1" customWidth="1"/>
    <col min="32" max="32" width="11.5703125" bestFit="1" customWidth="1"/>
    <col min="33" max="34" width="11.5703125" customWidth="1"/>
    <col min="35" max="35" width="18.42578125" bestFit="1" customWidth="1"/>
    <col min="36" max="37" width="18.42578125" customWidth="1"/>
    <col min="38" max="38" width="16.85546875" customWidth="1"/>
    <col min="39" max="39" width="16.42578125" bestFit="1" customWidth="1"/>
    <col min="40" max="40" width="14.28515625" bestFit="1" customWidth="1"/>
  </cols>
  <sheetData>
    <row r="1" spans="1:40" ht="18.75" x14ac:dyDescent="0.3">
      <c r="A1" s="1" t="s">
        <v>447</v>
      </c>
      <c r="G1" s="137"/>
      <c r="H1" s="137"/>
      <c r="I1" s="137"/>
      <c r="Q1" s="138" t="s">
        <v>345</v>
      </c>
      <c r="R1" s="139">
        <v>55</v>
      </c>
      <c r="AE1" s="140"/>
      <c r="AF1" s="140"/>
      <c r="AG1" s="140"/>
      <c r="AH1" s="140"/>
      <c r="AI1" s="141"/>
      <c r="AJ1" s="141"/>
      <c r="AK1" s="141"/>
      <c r="AL1" s="141"/>
      <c r="AM1" s="142"/>
      <c r="AN1" s="140"/>
    </row>
    <row r="2" spans="1:40" x14ac:dyDescent="0.25">
      <c r="A2" t="s">
        <v>76</v>
      </c>
      <c r="G2" s="137"/>
      <c r="H2" s="137"/>
      <c r="I2" s="137"/>
      <c r="L2" s="143" t="s">
        <v>346</v>
      </c>
      <c r="M2" s="143"/>
      <c r="N2" s="143"/>
      <c r="Q2" t="s">
        <v>347</v>
      </c>
      <c r="R2">
        <v>4</v>
      </c>
      <c r="AA2" s="144" t="s">
        <v>348</v>
      </c>
      <c r="AB2" s="144"/>
      <c r="AC2" s="144"/>
      <c r="AE2" s="140"/>
      <c r="AF2" s="140"/>
      <c r="AG2" s="140"/>
      <c r="AH2" s="140"/>
      <c r="AI2" s="141"/>
      <c r="AJ2" s="141"/>
      <c r="AK2" s="141"/>
      <c r="AL2" s="141"/>
      <c r="AM2" s="142"/>
      <c r="AN2" s="140"/>
    </row>
    <row r="3" spans="1:40" x14ac:dyDescent="0.25">
      <c r="B3" s="145" t="s">
        <v>349</v>
      </c>
      <c r="G3" s="137"/>
      <c r="H3" s="137"/>
      <c r="I3" s="137"/>
      <c r="L3" s="143" t="s">
        <v>350</v>
      </c>
      <c r="M3" s="143"/>
      <c r="N3" s="146">
        <v>5.58</v>
      </c>
      <c r="Q3" t="s">
        <v>351</v>
      </c>
      <c r="R3" s="147">
        <v>500</v>
      </c>
      <c r="AA3" s="144" t="s">
        <v>350</v>
      </c>
      <c r="AB3" s="144"/>
      <c r="AC3" s="148">
        <v>11.15</v>
      </c>
      <c r="AE3" s="140"/>
      <c r="AF3" s="140"/>
      <c r="AG3" s="140"/>
      <c r="AH3" s="140"/>
      <c r="AI3" s="141"/>
      <c r="AJ3" s="141"/>
      <c r="AK3" s="141"/>
      <c r="AL3" s="141"/>
      <c r="AM3" s="142"/>
      <c r="AN3" s="140"/>
    </row>
    <row r="4" spans="1:40" x14ac:dyDescent="0.25">
      <c r="G4" s="137"/>
      <c r="H4" s="137"/>
      <c r="I4" s="137"/>
      <c r="L4" s="143" t="s">
        <v>352</v>
      </c>
      <c r="M4" s="143"/>
      <c r="N4" s="146">
        <v>7.8</v>
      </c>
      <c r="AA4" s="144" t="s">
        <v>352</v>
      </c>
      <c r="AB4" s="144"/>
      <c r="AC4" s="148">
        <v>15.6</v>
      </c>
      <c r="AE4" s="140"/>
      <c r="AF4" s="140"/>
      <c r="AG4" s="140"/>
      <c r="AH4" s="140"/>
      <c r="AI4" s="141"/>
      <c r="AJ4" s="141"/>
      <c r="AK4" s="141"/>
      <c r="AL4" s="141"/>
      <c r="AM4" s="142"/>
      <c r="AN4" s="140"/>
    </row>
    <row r="5" spans="1:40" x14ac:dyDescent="0.25">
      <c r="G5" s="137"/>
      <c r="H5" s="137"/>
      <c r="I5" s="137"/>
      <c r="L5" s="149"/>
      <c r="M5" s="149"/>
      <c r="N5" s="150"/>
      <c r="AA5" s="149"/>
      <c r="AB5" s="149"/>
      <c r="AC5" s="150"/>
      <c r="AE5" s="140"/>
      <c r="AF5" s="140"/>
      <c r="AG5" s="140"/>
      <c r="AH5" s="140"/>
      <c r="AI5" s="141"/>
      <c r="AJ5" s="141"/>
      <c r="AK5" s="141"/>
      <c r="AL5" s="141"/>
      <c r="AM5" s="142"/>
      <c r="AN5" s="140"/>
    </row>
    <row r="6" spans="1:40" x14ac:dyDescent="0.25">
      <c r="A6" s="507" t="s">
        <v>353</v>
      </c>
      <c r="B6" s="508"/>
      <c r="C6" s="508"/>
      <c r="D6" s="508"/>
      <c r="E6" s="508"/>
      <c r="F6" s="508"/>
      <c r="G6" s="508"/>
      <c r="H6" s="508"/>
      <c r="I6" s="509"/>
      <c r="J6" s="510" t="s">
        <v>354</v>
      </c>
      <c r="K6" s="511"/>
      <c r="L6" s="511"/>
      <c r="M6" s="511"/>
      <c r="N6" s="511"/>
      <c r="O6" s="511"/>
      <c r="P6" s="511"/>
      <c r="Q6" s="511"/>
      <c r="R6" s="511"/>
      <c r="S6" s="511"/>
      <c r="T6" s="511"/>
      <c r="U6" s="511"/>
      <c r="V6" s="511"/>
      <c r="W6" s="511"/>
      <c r="X6" s="511"/>
      <c r="Y6" s="512"/>
      <c r="Z6" s="513" t="s">
        <v>355</v>
      </c>
      <c r="AA6" s="513"/>
      <c r="AB6" s="513"/>
      <c r="AC6" s="513"/>
      <c r="AD6" s="513"/>
      <c r="AE6" s="513"/>
      <c r="AF6" s="513"/>
      <c r="AG6" s="513"/>
      <c r="AH6" s="513"/>
      <c r="AI6" s="513"/>
      <c r="AJ6" s="200"/>
      <c r="AK6" s="200"/>
      <c r="AL6" s="152"/>
      <c r="AM6" s="153"/>
      <c r="AN6" s="154"/>
    </row>
    <row r="7" spans="1:40" s="164" customFormat="1" ht="90" x14ac:dyDescent="0.25">
      <c r="A7" s="155" t="s">
        <v>356</v>
      </c>
      <c r="B7" s="155" t="s">
        <v>357</v>
      </c>
      <c r="C7" s="155" t="s">
        <v>358</v>
      </c>
      <c r="D7" s="155" t="s">
        <v>359</v>
      </c>
      <c r="E7" s="155" t="s">
        <v>360</v>
      </c>
      <c r="F7" s="155" t="s">
        <v>361</v>
      </c>
      <c r="G7" s="156" t="s">
        <v>362</v>
      </c>
      <c r="H7" s="156" t="s">
        <v>363</v>
      </c>
      <c r="I7" s="156" t="s">
        <v>364</v>
      </c>
      <c r="J7" s="157" t="s">
        <v>365</v>
      </c>
      <c r="K7" s="157" t="s">
        <v>366</v>
      </c>
      <c r="L7" s="157" t="s">
        <v>367</v>
      </c>
      <c r="M7" s="157" t="s">
        <v>368</v>
      </c>
      <c r="N7" s="157" t="s">
        <v>369</v>
      </c>
      <c r="O7" s="157" t="s">
        <v>370</v>
      </c>
      <c r="P7" s="158" t="s">
        <v>371</v>
      </c>
      <c r="Q7" s="158" t="s">
        <v>372</v>
      </c>
      <c r="R7" s="158" t="s">
        <v>373</v>
      </c>
      <c r="S7" s="158" t="s">
        <v>374</v>
      </c>
      <c r="T7" s="158" t="s">
        <v>375</v>
      </c>
      <c r="U7" s="158" t="s">
        <v>430</v>
      </c>
      <c r="V7" s="158" t="s">
        <v>431</v>
      </c>
      <c r="W7" s="158" t="s">
        <v>442</v>
      </c>
      <c r="X7" s="158" t="s">
        <v>443</v>
      </c>
      <c r="Y7" s="157" t="s">
        <v>376</v>
      </c>
      <c r="Z7" s="159" t="s">
        <v>377</v>
      </c>
      <c r="AA7" s="159" t="s">
        <v>378</v>
      </c>
      <c r="AB7" s="159" t="s">
        <v>379</v>
      </c>
      <c r="AC7" s="159" t="s">
        <v>380</v>
      </c>
      <c r="AD7" s="159" t="s">
        <v>381</v>
      </c>
      <c r="AE7" s="160" t="s">
        <v>382</v>
      </c>
      <c r="AF7" s="160" t="s">
        <v>383</v>
      </c>
      <c r="AG7" s="160" t="s">
        <v>435</v>
      </c>
      <c r="AH7" s="160" t="s">
        <v>436</v>
      </c>
      <c r="AI7" s="160" t="s">
        <v>384</v>
      </c>
      <c r="AJ7" s="160" t="s">
        <v>437</v>
      </c>
      <c r="AK7" s="160" t="s">
        <v>438</v>
      </c>
      <c r="AL7" s="161" t="s">
        <v>385</v>
      </c>
      <c r="AM7" s="162" t="s">
        <v>386</v>
      </c>
      <c r="AN7" s="163"/>
    </row>
    <row r="8" spans="1:40" x14ac:dyDescent="0.25">
      <c r="A8" t="s">
        <v>387</v>
      </c>
      <c r="B8" t="s">
        <v>388</v>
      </c>
      <c r="C8" t="s">
        <v>388</v>
      </c>
      <c r="E8" s="165">
        <v>42132</v>
      </c>
      <c r="F8">
        <v>5</v>
      </c>
      <c r="G8" s="137">
        <v>10450</v>
      </c>
      <c r="H8" s="137">
        <f>F8*261</f>
        <v>1305</v>
      </c>
      <c r="I8" s="166">
        <f t="shared" ref="I8:I12" si="0">G8+H8</f>
        <v>11755</v>
      </c>
      <c r="J8">
        <v>24</v>
      </c>
      <c r="K8">
        <v>4</v>
      </c>
      <c r="L8">
        <v>48</v>
      </c>
      <c r="M8">
        <v>192</v>
      </c>
      <c r="N8" s="167">
        <v>2685.7142857142858</v>
      </c>
      <c r="O8" s="167">
        <v>3244</v>
      </c>
      <c r="P8" s="168">
        <f>L8*$N$3</f>
        <v>267.84000000000003</v>
      </c>
      <c r="Q8" s="168">
        <f>M8*$N$4</f>
        <v>1497.6</v>
      </c>
      <c r="R8" s="169">
        <f t="shared" ref="R8:R19" si="1">K8/$R$1</f>
        <v>7.2727272727272724E-2</v>
      </c>
      <c r="S8" s="168">
        <f>R8*$R$3</f>
        <v>36.36363636363636</v>
      </c>
      <c r="T8" s="168">
        <f>R8*((J8*$AC$3)+(J8*$AC$4*$R$2))</f>
        <v>128.37818181818179</v>
      </c>
      <c r="U8" s="168">
        <f>R8*(J8*$AC$3)</f>
        <v>19.461818181818181</v>
      </c>
      <c r="V8" s="168">
        <f>R8*(J8*$R$2)*$AC$4</f>
        <v>108.91636363636363</v>
      </c>
      <c r="W8" s="168">
        <f>J8*R8</f>
        <v>1.7454545454545454</v>
      </c>
      <c r="X8" s="168">
        <f>R8*(J8*$R$2)</f>
        <v>6.9818181818181815</v>
      </c>
      <c r="Y8" s="170">
        <f>Q8+P8+N8+O8+S8+T8</f>
        <v>7859.8961038961033</v>
      </c>
      <c r="Z8">
        <v>1839</v>
      </c>
      <c r="AA8">
        <v>4</v>
      </c>
      <c r="AB8">
        <f>Z8*AA8</f>
        <v>7356</v>
      </c>
      <c r="AC8" s="168">
        <f>Z8*$AC$3</f>
        <v>20504.850000000002</v>
      </c>
      <c r="AD8" s="168">
        <f>AB8*AC4</f>
        <v>114753.59999999999</v>
      </c>
      <c r="AE8" s="140">
        <f>(AC8+AD8)</f>
        <v>135258.44999999998</v>
      </c>
      <c r="AF8" s="171">
        <v>0.05</v>
      </c>
      <c r="AG8" s="197">
        <f>Z8*AF8</f>
        <v>91.95</v>
      </c>
      <c r="AH8" s="197">
        <f>AB8*AF8</f>
        <v>367.8</v>
      </c>
      <c r="AI8" s="141">
        <f>AE8*AF8</f>
        <v>6762.9224999999997</v>
      </c>
      <c r="AJ8" s="141">
        <f>AC8*AF8</f>
        <v>1025.2425000000001</v>
      </c>
      <c r="AK8" s="141">
        <f>AD8*AF8</f>
        <v>5737.68</v>
      </c>
      <c r="AL8" s="141">
        <f t="shared" ref="AL8:AL36" si="2">Y8+AI8</f>
        <v>14622.818603896103</v>
      </c>
      <c r="AM8" s="172">
        <f t="shared" ref="AM8:AM36" si="3">IF((AL8-I8)&lt;0,0,AL8-I8)</f>
        <v>2867.818603896103</v>
      </c>
      <c r="AN8" s="140"/>
    </row>
    <row r="9" spans="1:40" x14ac:dyDescent="0.25">
      <c r="A9" t="s">
        <v>387</v>
      </c>
      <c r="B9" t="s">
        <v>389</v>
      </c>
      <c r="C9" t="s">
        <v>390</v>
      </c>
      <c r="D9" t="s">
        <v>391</v>
      </c>
      <c r="E9" s="165">
        <v>42146</v>
      </c>
      <c r="F9">
        <v>7</v>
      </c>
      <c r="G9" s="137">
        <v>8500</v>
      </c>
      <c r="H9" s="137">
        <f t="shared" ref="H9:H36" si="4">F9*261</f>
        <v>1827</v>
      </c>
      <c r="I9" s="166">
        <f t="shared" si="0"/>
        <v>10327</v>
      </c>
      <c r="J9">
        <v>40</v>
      </c>
      <c r="K9">
        <v>6</v>
      </c>
      <c r="L9">
        <v>80</v>
      </c>
      <c r="M9">
        <v>240</v>
      </c>
      <c r="N9" s="167">
        <v>12955.312887394957</v>
      </c>
      <c r="O9" s="167">
        <v>3094</v>
      </c>
      <c r="P9" s="168">
        <f t="shared" ref="P9:P16" si="5">L9*$N$3</f>
        <v>446.4</v>
      </c>
      <c r="Q9" s="168">
        <f t="shared" ref="Q9:Q16" si="6">M9*$N$4</f>
        <v>1872</v>
      </c>
      <c r="R9" s="169">
        <f t="shared" si="1"/>
        <v>0.10909090909090909</v>
      </c>
      <c r="S9" s="168">
        <f t="shared" ref="S9:S20" si="7">R9*$R$3</f>
        <v>54.54545454545454</v>
      </c>
      <c r="T9" s="168">
        <f t="shared" ref="T9:T19" si="8">R9*((J9*$AC$3)+(J9*$AC$4*$R$2))</f>
        <v>320.94545454545454</v>
      </c>
      <c r="U9" s="168">
        <f t="shared" ref="U9:U19" si="9">R9*(J9*$AC$3)</f>
        <v>48.654545454545449</v>
      </c>
      <c r="V9" s="168">
        <f t="shared" ref="V9:V19" si="10">R9*(J9*$R$2)*$AC$4</f>
        <v>272.29090909090905</v>
      </c>
      <c r="W9" s="168">
        <f t="shared" ref="W9:W19" si="11">J9*R9</f>
        <v>4.3636363636363633</v>
      </c>
      <c r="X9" s="168">
        <f t="shared" ref="X9:X19" si="12">R9*(J9*$R$2)</f>
        <v>17.454545454545453</v>
      </c>
      <c r="Y9" s="170">
        <f t="shared" ref="Y9:Y19" si="13">Q9+P9+N9+O9+S9+T9</f>
        <v>18743.203796485865</v>
      </c>
      <c r="Z9">
        <v>4811</v>
      </c>
      <c r="AA9">
        <v>6</v>
      </c>
      <c r="AB9">
        <f>Z9*AA9</f>
        <v>28866</v>
      </c>
      <c r="AC9" s="168">
        <f t="shared" ref="AC9:AC16" si="14">Z9*$AC$3</f>
        <v>53642.65</v>
      </c>
      <c r="AD9" s="168">
        <f>AB9*AC4</f>
        <v>450309.6</v>
      </c>
      <c r="AE9" s="140">
        <f t="shared" ref="AE9:AE16" si="15">(AC9+AD9)</f>
        <v>503952.25</v>
      </c>
      <c r="AF9" s="171">
        <v>0.05</v>
      </c>
      <c r="AG9" s="197">
        <f t="shared" ref="AG9:AG19" si="16">Z9*AF9</f>
        <v>240.55</v>
      </c>
      <c r="AH9" s="197">
        <f t="shared" ref="AH9:AH19" si="17">AB9*AF9</f>
        <v>1443.3000000000002</v>
      </c>
      <c r="AI9" s="141">
        <f t="shared" ref="AI9:AI36" si="18">AE9*AF9</f>
        <v>25197.612500000003</v>
      </c>
      <c r="AJ9" s="141">
        <f t="shared" ref="AJ9:AJ19" si="19">AC9*AF9</f>
        <v>2682.1325000000002</v>
      </c>
      <c r="AK9" s="141">
        <f t="shared" ref="AK9:AK19" si="20">AD9*AF9</f>
        <v>22515.48</v>
      </c>
      <c r="AL9" s="141">
        <f t="shared" si="2"/>
        <v>43940.816296485864</v>
      </c>
      <c r="AM9" s="172">
        <f t="shared" si="3"/>
        <v>33613.816296485864</v>
      </c>
      <c r="AN9" s="140"/>
    </row>
    <row r="10" spans="1:40" x14ac:dyDescent="0.25">
      <c r="A10" t="s">
        <v>387</v>
      </c>
      <c r="B10" t="s">
        <v>392</v>
      </c>
      <c r="C10" t="s">
        <v>390</v>
      </c>
      <c r="D10" t="s">
        <v>391</v>
      </c>
      <c r="E10" s="165">
        <v>42146</v>
      </c>
      <c r="F10">
        <v>5</v>
      </c>
      <c r="G10" s="137">
        <v>10000</v>
      </c>
      <c r="H10" s="137">
        <f t="shared" si="4"/>
        <v>1305</v>
      </c>
      <c r="I10" s="166">
        <f t="shared" si="0"/>
        <v>11305</v>
      </c>
      <c r="J10">
        <v>0</v>
      </c>
      <c r="K10">
        <v>0</v>
      </c>
      <c r="L10">
        <v>0</v>
      </c>
      <c r="M10">
        <v>0</v>
      </c>
      <c r="N10" s="167">
        <v>0</v>
      </c>
      <c r="O10" s="167">
        <v>2106</v>
      </c>
      <c r="P10" s="168">
        <f t="shared" si="5"/>
        <v>0</v>
      </c>
      <c r="Q10" s="168">
        <f t="shared" si="6"/>
        <v>0</v>
      </c>
      <c r="R10" s="169">
        <f t="shared" si="1"/>
        <v>0</v>
      </c>
      <c r="S10" s="168">
        <f t="shared" si="7"/>
        <v>0</v>
      </c>
      <c r="T10" s="168">
        <f t="shared" si="8"/>
        <v>0</v>
      </c>
      <c r="U10" s="168">
        <f t="shared" si="9"/>
        <v>0</v>
      </c>
      <c r="V10" s="168">
        <f t="shared" si="10"/>
        <v>0</v>
      </c>
      <c r="W10" s="168">
        <f t="shared" si="11"/>
        <v>0</v>
      </c>
      <c r="X10" s="168">
        <f t="shared" si="12"/>
        <v>0</v>
      </c>
      <c r="Y10" s="170">
        <f t="shared" si="13"/>
        <v>2106</v>
      </c>
      <c r="Z10">
        <v>4851</v>
      </c>
      <c r="AA10">
        <v>4</v>
      </c>
      <c r="AB10">
        <f t="shared" ref="AB10:AB36" si="21">Z10*AA10</f>
        <v>19404</v>
      </c>
      <c r="AC10" s="168">
        <f t="shared" si="14"/>
        <v>54088.65</v>
      </c>
      <c r="AD10" s="168">
        <f>AB10*$AC4</f>
        <v>302702.39999999997</v>
      </c>
      <c r="AE10" s="140">
        <f t="shared" si="15"/>
        <v>356791.05</v>
      </c>
      <c r="AF10" s="171">
        <v>0.05</v>
      </c>
      <c r="AG10" s="197">
        <f t="shared" si="16"/>
        <v>242.55</v>
      </c>
      <c r="AH10" s="197">
        <f t="shared" si="17"/>
        <v>970.2</v>
      </c>
      <c r="AI10" s="141">
        <f t="shared" si="18"/>
        <v>17839.552500000002</v>
      </c>
      <c r="AJ10" s="141">
        <f t="shared" si="19"/>
        <v>2704.4325000000003</v>
      </c>
      <c r="AK10" s="141">
        <f t="shared" si="20"/>
        <v>15135.119999999999</v>
      </c>
      <c r="AL10" s="141">
        <f t="shared" si="2"/>
        <v>19945.552500000002</v>
      </c>
      <c r="AM10" s="172">
        <f t="shared" si="3"/>
        <v>8640.5525000000016</v>
      </c>
      <c r="AN10" s="140"/>
    </row>
    <row r="11" spans="1:40" x14ac:dyDescent="0.25">
      <c r="A11" t="s">
        <v>393</v>
      </c>
      <c r="B11" t="s">
        <v>394</v>
      </c>
      <c r="C11" t="s">
        <v>395</v>
      </c>
      <c r="D11" t="s">
        <v>396</v>
      </c>
      <c r="E11" s="165">
        <v>42186</v>
      </c>
      <c r="F11">
        <v>25</v>
      </c>
      <c r="G11" s="173">
        <v>37500</v>
      </c>
      <c r="H11" s="137">
        <f t="shared" si="4"/>
        <v>6525</v>
      </c>
      <c r="I11" s="166">
        <f t="shared" si="0"/>
        <v>44025</v>
      </c>
      <c r="J11">
        <v>34</v>
      </c>
      <c r="K11">
        <v>21</v>
      </c>
      <c r="L11">
        <v>68</v>
      </c>
      <c r="M11">
        <v>34</v>
      </c>
      <c r="N11" s="174">
        <v>41079.086305882352</v>
      </c>
      <c r="O11" s="174">
        <v>7988</v>
      </c>
      <c r="P11" s="168">
        <f t="shared" si="5"/>
        <v>379.44</v>
      </c>
      <c r="Q11" s="168">
        <f t="shared" si="6"/>
        <v>265.2</v>
      </c>
      <c r="R11" s="169">
        <f t="shared" si="1"/>
        <v>0.38181818181818183</v>
      </c>
      <c r="S11" s="168">
        <f t="shared" si="7"/>
        <v>190.90909090909091</v>
      </c>
      <c r="T11" s="168">
        <f t="shared" si="8"/>
        <v>954.81272727272722</v>
      </c>
      <c r="U11" s="168">
        <f t="shared" si="9"/>
        <v>144.74727272727273</v>
      </c>
      <c r="V11" s="168">
        <f t="shared" si="10"/>
        <v>810.0654545454546</v>
      </c>
      <c r="W11" s="168">
        <f t="shared" si="11"/>
        <v>12.981818181818182</v>
      </c>
      <c r="X11" s="168">
        <f t="shared" si="12"/>
        <v>51.927272727272729</v>
      </c>
      <c r="Y11" s="170">
        <f t="shared" si="13"/>
        <v>50857.448124064169</v>
      </c>
      <c r="Z11">
        <v>940</v>
      </c>
      <c r="AA11">
        <v>4</v>
      </c>
      <c r="AB11">
        <f t="shared" si="21"/>
        <v>3760</v>
      </c>
      <c r="AC11" s="168">
        <f t="shared" si="14"/>
        <v>10481</v>
      </c>
      <c r="AD11" s="168">
        <f>AB11*AC4</f>
        <v>58656</v>
      </c>
      <c r="AE11" s="140">
        <f t="shared" si="15"/>
        <v>69137</v>
      </c>
      <c r="AF11" s="171">
        <v>0.05</v>
      </c>
      <c r="AG11" s="197">
        <f t="shared" si="16"/>
        <v>47</v>
      </c>
      <c r="AH11" s="197">
        <f t="shared" si="17"/>
        <v>188</v>
      </c>
      <c r="AI11" s="141">
        <f t="shared" si="18"/>
        <v>3456.8500000000004</v>
      </c>
      <c r="AJ11" s="141">
        <f t="shared" si="19"/>
        <v>524.05000000000007</v>
      </c>
      <c r="AK11" s="141">
        <f t="shared" si="20"/>
        <v>2932.8</v>
      </c>
      <c r="AL11" s="141">
        <f t="shared" si="2"/>
        <v>54314.298124064167</v>
      </c>
      <c r="AM11" s="172">
        <f t="shared" si="3"/>
        <v>10289.298124064167</v>
      </c>
      <c r="AN11" s="140"/>
    </row>
    <row r="12" spans="1:40" x14ac:dyDescent="0.25">
      <c r="A12" t="s">
        <v>387</v>
      </c>
      <c r="B12" t="s">
        <v>397</v>
      </c>
      <c r="C12" t="s">
        <v>398</v>
      </c>
      <c r="D12" t="s">
        <v>399</v>
      </c>
      <c r="E12" s="175">
        <v>42223</v>
      </c>
      <c r="F12">
        <v>15</v>
      </c>
      <c r="G12" s="173">
        <v>22500</v>
      </c>
      <c r="H12" s="137">
        <f t="shared" si="4"/>
        <v>3915</v>
      </c>
      <c r="I12" s="166">
        <f t="shared" si="0"/>
        <v>26415</v>
      </c>
      <c r="J12">
        <v>89</v>
      </c>
      <c r="K12">
        <v>14</v>
      </c>
      <c r="L12">
        <v>178</v>
      </c>
      <c r="M12">
        <v>356</v>
      </c>
      <c r="N12" s="167">
        <v>59884.352941176476</v>
      </c>
      <c r="O12" s="167">
        <v>5044</v>
      </c>
      <c r="P12" s="168">
        <f t="shared" si="5"/>
        <v>993.24</v>
      </c>
      <c r="Q12" s="168">
        <f t="shared" si="6"/>
        <v>2776.7999999999997</v>
      </c>
      <c r="R12" s="169">
        <f t="shared" si="1"/>
        <v>0.25454545454545452</v>
      </c>
      <c r="S12" s="168">
        <f t="shared" si="7"/>
        <v>127.27272727272727</v>
      </c>
      <c r="T12" s="168">
        <f t="shared" si="8"/>
        <v>1666.241818181818</v>
      </c>
      <c r="U12" s="168">
        <f t="shared" si="9"/>
        <v>252.59818181818179</v>
      </c>
      <c r="V12" s="168">
        <f t="shared" si="10"/>
        <v>1413.6436363636362</v>
      </c>
      <c r="W12" s="168">
        <f t="shared" si="11"/>
        <v>22.654545454545453</v>
      </c>
      <c r="X12" s="168">
        <f t="shared" si="12"/>
        <v>90.61818181818181</v>
      </c>
      <c r="Y12" s="170">
        <f t="shared" si="13"/>
        <v>70491.907486631026</v>
      </c>
      <c r="Z12">
        <v>89</v>
      </c>
      <c r="AA12">
        <v>8</v>
      </c>
      <c r="AB12">
        <f t="shared" si="21"/>
        <v>712</v>
      </c>
      <c r="AC12" s="168">
        <f t="shared" si="14"/>
        <v>992.35</v>
      </c>
      <c r="AD12" s="168">
        <f>AB12*AC4</f>
        <v>11107.199999999999</v>
      </c>
      <c r="AE12" s="140">
        <f t="shared" si="15"/>
        <v>12099.55</v>
      </c>
      <c r="AF12" s="171">
        <v>0.05</v>
      </c>
      <c r="AG12" s="197">
        <f t="shared" si="16"/>
        <v>4.45</v>
      </c>
      <c r="AH12" s="197">
        <f t="shared" si="17"/>
        <v>35.6</v>
      </c>
      <c r="AI12" s="141">
        <f t="shared" si="18"/>
        <v>604.97749999999996</v>
      </c>
      <c r="AJ12" s="141">
        <f t="shared" si="19"/>
        <v>49.617500000000007</v>
      </c>
      <c r="AK12" s="141">
        <f t="shared" si="20"/>
        <v>555.36</v>
      </c>
      <c r="AL12" s="141">
        <f t="shared" si="2"/>
        <v>71096.884986631019</v>
      </c>
      <c r="AM12" s="172">
        <f t="shared" si="3"/>
        <v>44681.884986631019</v>
      </c>
      <c r="AN12" s="140"/>
    </row>
    <row r="13" spans="1:40" x14ac:dyDescent="0.25">
      <c r="A13" t="s">
        <v>387</v>
      </c>
      <c r="B13" t="s">
        <v>400</v>
      </c>
      <c r="C13" t="s">
        <v>401</v>
      </c>
      <c r="D13" t="s">
        <v>402</v>
      </c>
      <c r="E13" s="165">
        <v>42251</v>
      </c>
      <c r="F13">
        <v>4</v>
      </c>
      <c r="G13" s="173">
        <v>9300</v>
      </c>
      <c r="H13" s="137">
        <f t="shared" si="4"/>
        <v>1044</v>
      </c>
      <c r="I13" s="166">
        <f>G13+H13</f>
        <v>10344</v>
      </c>
      <c r="J13">
        <v>118</v>
      </c>
      <c r="K13">
        <v>5</v>
      </c>
      <c r="L13">
        <v>236</v>
      </c>
      <c r="M13">
        <v>708</v>
      </c>
      <c r="N13" s="167">
        <v>10618.991596638656</v>
      </c>
      <c r="O13" s="167">
        <v>3060</v>
      </c>
      <c r="P13" s="168">
        <f t="shared" si="5"/>
        <v>1316.88</v>
      </c>
      <c r="Q13" s="168">
        <f t="shared" si="6"/>
        <v>5522.4</v>
      </c>
      <c r="R13" s="169">
        <f t="shared" si="1"/>
        <v>9.0909090909090912E-2</v>
      </c>
      <c r="S13" s="168">
        <f t="shared" si="7"/>
        <v>45.454545454545453</v>
      </c>
      <c r="T13" s="168">
        <f t="shared" si="8"/>
        <v>788.9909090909091</v>
      </c>
      <c r="U13" s="168">
        <f t="shared" si="9"/>
        <v>119.60909090909092</v>
      </c>
      <c r="V13" s="168">
        <f t="shared" si="10"/>
        <v>669.38181818181829</v>
      </c>
      <c r="W13" s="168">
        <f t="shared" si="11"/>
        <v>10.727272727272728</v>
      </c>
      <c r="X13" s="168">
        <f t="shared" si="12"/>
        <v>42.909090909090914</v>
      </c>
      <c r="Y13" s="170">
        <f t="shared" si="13"/>
        <v>21352.71705118411</v>
      </c>
      <c r="Z13">
        <v>1350</v>
      </c>
      <c r="AA13">
        <v>5</v>
      </c>
      <c r="AB13">
        <f t="shared" si="21"/>
        <v>6750</v>
      </c>
      <c r="AC13" s="168">
        <f t="shared" si="14"/>
        <v>15052.5</v>
      </c>
      <c r="AD13" s="168">
        <f t="shared" ref="AD13:AD15" si="22">AB13*6</f>
        <v>40500</v>
      </c>
      <c r="AE13" s="140">
        <f t="shared" si="15"/>
        <v>55552.5</v>
      </c>
      <c r="AF13" s="171">
        <v>0.05</v>
      </c>
      <c r="AG13" s="197">
        <f t="shared" si="16"/>
        <v>67.5</v>
      </c>
      <c r="AH13" s="197">
        <f t="shared" si="17"/>
        <v>337.5</v>
      </c>
      <c r="AI13" s="141">
        <f t="shared" si="18"/>
        <v>2777.625</v>
      </c>
      <c r="AJ13" s="141">
        <f t="shared" si="19"/>
        <v>752.625</v>
      </c>
      <c r="AK13" s="141">
        <f t="shared" si="20"/>
        <v>2025</v>
      </c>
      <c r="AL13" s="141">
        <f t="shared" si="2"/>
        <v>24130.34205118411</v>
      </c>
      <c r="AM13" s="172">
        <f t="shared" si="3"/>
        <v>13786.34205118411</v>
      </c>
      <c r="AN13" s="140"/>
    </row>
    <row r="14" spans="1:40" x14ac:dyDescent="0.25">
      <c r="A14" t="s">
        <v>387</v>
      </c>
      <c r="B14" t="s">
        <v>403</v>
      </c>
      <c r="C14" t="s">
        <v>404</v>
      </c>
      <c r="D14" t="s">
        <v>405</v>
      </c>
      <c r="E14" s="175">
        <v>42258</v>
      </c>
      <c r="F14">
        <v>4</v>
      </c>
      <c r="G14" s="173">
        <v>12600</v>
      </c>
      <c r="H14" s="137">
        <f t="shared" si="4"/>
        <v>1044</v>
      </c>
      <c r="I14" s="166">
        <f t="shared" ref="I14:I36" si="23">G14+H14</f>
        <v>13644</v>
      </c>
      <c r="J14">
        <v>610</v>
      </c>
      <c r="K14">
        <v>3</v>
      </c>
      <c r="L14">
        <v>1220</v>
      </c>
      <c r="M14">
        <v>4880</v>
      </c>
      <c r="N14" s="167">
        <v>17784</v>
      </c>
      <c r="O14" s="167">
        <v>3244</v>
      </c>
      <c r="P14" s="168">
        <f t="shared" si="5"/>
        <v>6807.6</v>
      </c>
      <c r="Q14" s="168">
        <f t="shared" si="6"/>
        <v>38064</v>
      </c>
      <c r="R14" s="169">
        <f t="shared" si="1"/>
        <v>5.4545454545454543E-2</v>
      </c>
      <c r="S14" s="168">
        <f t="shared" si="7"/>
        <v>27.27272727272727</v>
      </c>
      <c r="T14" s="168">
        <f t="shared" si="8"/>
        <v>2447.2090909090907</v>
      </c>
      <c r="U14" s="168">
        <f t="shared" si="9"/>
        <v>370.9909090909091</v>
      </c>
      <c r="V14" s="168">
        <f t="shared" si="10"/>
        <v>2076.2181818181816</v>
      </c>
      <c r="W14" s="168">
        <f t="shared" si="11"/>
        <v>33.272727272727273</v>
      </c>
      <c r="X14" s="168">
        <f t="shared" si="12"/>
        <v>133.09090909090909</v>
      </c>
      <c r="Y14" s="170">
        <f t="shared" si="13"/>
        <v>68374.081818181818</v>
      </c>
      <c r="Z14">
        <v>610</v>
      </c>
      <c r="AA14">
        <v>8</v>
      </c>
      <c r="AB14">
        <f t="shared" si="21"/>
        <v>4880</v>
      </c>
      <c r="AC14" s="168">
        <f t="shared" si="14"/>
        <v>6801.5</v>
      </c>
      <c r="AD14" s="168">
        <f t="shared" si="22"/>
        <v>29280</v>
      </c>
      <c r="AE14" s="140">
        <f t="shared" si="15"/>
        <v>36081.5</v>
      </c>
      <c r="AF14" s="171">
        <v>0.05</v>
      </c>
      <c r="AG14" s="197">
        <f t="shared" si="16"/>
        <v>30.5</v>
      </c>
      <c r="AH14" s="197">
        <f t="shared" si="17"/>
        <v>244</v>
      </c>
      <c r="AI14" s="141">
        <f t="shared" si="18"/>
        <v>1804.075</v>
      </c>
      <c r="AJ14" s="141">
        <f t="shared" si="19"/>
        <v>340.07500000000005</v>
      </c>
      <c r="AK14" s="141">
        <f t="shared" si="20"/>
        <v>1464</v>
      </c>
      <c r="AL14" s="141">
        <f t="shared" si="2"/>
        <v>70178.156818181815</v>
      </c>
      <c r="AM14" s="172">
        <f t="shared" si="3"/>
        <v>56534.156818181815</v>
      </c>
      <c r="AN14" s="140"/>
    </row>
    <row r="15" spans="1:40" x14ac:dyDescent="0.25">
      <c r="A15" t="s">
        <v>387</v>
      </c>
      <c r="B15" t="s">
        <v>406</v>
      </c>
      <c r="C15" t="s">
        <v>404</v>
      </c>
      <c r="D15" t="s">
        <v>405</v>
      </c>
      <c r="E15" s="175">
        <v>42265</v>
      </c>
      <c r="F15">
        <v>7</v>
      </c>
      <c r="G15" s="173">
        <v>18300</v>
      </c>
      <c r="H15" s="137">
        <f t="shared" si="4"/>
        <v>1827</v>
      </c>
      <c r="I15" s="166">
        <f t="shared" si="23"/>
        <v>20127</v>
      </c>
      <c r="J15">
        <v>620</v>
      </c>
      <c r="K15">
        <v>5</v>
      </c>
      <c r="L15">
        <v>1240</v>
      </c>
      <c r="M15">
        <v>2480</v>
      </c>
      <c r="N15" s="167">
        <v>28572.142857142859</v>
      </c>
      <c r="O15" s="167">
        <v>3444</v>
      </c>
      <c r="P15" s="168">
        <f t="shared" si="5"/>
        <v>6919.2</v>
      </c>
      <c r="Q15" s="168">
        <f t="shared" si="6"/>
        <v>19344</v>
      </c>
      <c r="R15" s="169">
        <f t="shared" si="1"/>
        <v>9.0909090909090912E-2</v>
      </c>
      <c r="S15" s="168">
        <f t="shared" si="7"/>
        <v>45.454545454545453</v>
      </c>
      <c r="T15" s="168">
        <f t="shared" si="8"/>
        <v>4145.545454545455</v>
      </c>
      <c r="U15" s="168">
        <f t="shared" si="9"/>
        <v>628.4545454545455</v>
      </c>
      <c r="V15" s="168">
        <f t="shared" si="10"/>
        <v>3517.090909090909</v>
      </c>
      <c r="W15" s="168">
        <f t="shared" si="11"/>
        <v>56.363636363636367</v>
      </c>
      <c r="X15" s="168">
        <f t="shared" si="12"/>
        <v>225.45454545454547</v>
      </c>
      <c r="Y15" s="170">
        <f t="shared" si="13"/>
        <v>62470.342857142859</v>
      </c>
      <c r="Z15">
        <v>620</v>
      </c>
      <c r="AA15">
        <v>8</v>
      </c>
      <c r="AB15">
        <f t="shared" si="21"/>
        <v>4960</v>
      </c>
      <c r="AC15" s="168">
        <f t="shared" si="14"/>
        <v>6913</v>
      </c>
      <c r="AD15" s="168">
        <f t="shared" si="22"/>
        <v>29760</v>
      </c>
      <c r="AE15" s="140">
        <f t="shared" si="15"/>
        <v>36673</v>
      </c>
      <c r="AF15" s="171">
        <v>0.05</v>
      </c>
      <c r="AG15" s="197">
        <f t="shared" si="16"/>
        <v>31</v>
      </c>
      <c r="AH15" s="197">
        <f t="shared" si="17"/>
        <v>248</v>
      </c>
      <c r="AI15" s="141">
        <f t="shared" si="18"/>
        <v>1833.65</v>
      </c>
      <c r="AJ15" s="141">
        <f t="shared" si="19"/>
        <v>345.65000000000003</v>
      </c>
      <c r="AK15" s="141">
        <f t="shared" si="20"/>
        <v>1488</v>
      </c>
      <c r="AL15" s="141">
        <f t="shared" si="2"/>
        <v>64303.992857142861</v>
      </c>
      <c r="AM15" s="172">
        <f t="shared" si="3"/>
        <v>44176.992857142861</v>
      </c>
      <c r="AN15" s="140"/>
    </row>
    <row r="16" spans="1:40" x14ac:dyDescent="0.25">
      <c r="A16" s="176" t="s">
        <v>387</v>
      </c>
      <c r="B16" s="176" t="s">
        <v>407</v>
      </c>
      <c r="C16" s="176" t="s">
        <v>404</v>
      </c>
      <c r="D16" s="176" t="s">
        <v>408</v>
      </c>
      <c r="E16" s="175">
        <v>42272</v>
      </c>
      <c r="F16" s="176">
        <v>9</v>
      </c>
      <c r="G16" s="173">
        <v>22100</v>
      </c>
      <c r="H16" s="137">
        <f t="shared" si="4"/>
        <v>2349</v>
      </c>
      <c r="I16" s="166">
        <f t="shared" si="23"/>
        <v>24449</v>
      </c>
      <c r="J16">
        <v>635</v>
      </c>
      <c r="K16">
        <v>10</v>
      </c>
      <c r="L16">
        <v>1270</v>
      </c>
      <c r="M16">
        <v>2540</v>
      </c>
      <c r="N16" s="167">
        <v>50180</v>
      </c>
      <c r="O16" s="167">
        <v>3444</v>
      </c>
      <c r="P16" s="168">
        <f t="shared" si="5"/>
        <v>7086.6</v>
      </c>
      <c r="Q16" s="168">
        <f t="shared" si="6"/>
        <v>19812</v>
      </c>
      <c r="R16" s="169">
        <f t="shared" si="1"/>
        <v>0.18181818181818182</v>
      </c>
      <c r="S16" s="168">
        <f t="shared" si="7"/>
        <v>90.909090909090907</v>
      </c>
      <c r="T16" s="168">
        <f t="shared" si="8"/>
        <v>8491.681818181818</v>
      </c>
      <c r="U16" s="168">
        <f t="shared" si="9"/>
        <v>1287.3181818181818</v>
      </c>
      <c r="V16" s="168">
        <f t="shared" si="10"/>
        <v>7204.363636363636</v>
      </c>
      <c r="W16" s="168">
        <f t="shared" si="11"/>
        <v>115.45454545454545</v>
      </c>
      <c r="X16" s="168">
        <f t="shared" si="12"/>
        <v>461.81818181818181</v>
      </c>
      <c r="Y16" s="170">
        <f t="shared" si="13"/>
        <v>89105.190909090918</v>
      </c>
      <c r="Z16">
        <v>635</v>
      </c>
      <c r="AA16">
        <v>8</v>
      </c>
      <c r="AB16">
        <f t="shared" si="21"/>
        <v>5080</v>
      </c>
      <c r="AC16" s="168">
        <f t="shared" si="14"/>
        <v>7080.25</v>
      </c>
      <c r="AD16" s="168">
        <f>AB16*6</f>
        <v>30480</v>
      </c>
      <c r="AE16" s="140">
        <f t="shared" si="15"/>
        <v>37560.25</v>
      </c>
      <c r="AF16" s="171">
        <v>0.05</v>
      </c>
      <c r="AG16" s="197">
        <f t="shared" si="16"/>
        <v>31.75</v>
      </c>
      <c r="AH16" s="197">
        <f t="shared" si="17"/>
        <v>254</v>
      </c>
      <c r="AI16" s="141">
        <f t="shared" si="18"/>
        <v>1878.0125</v>
      </c>
      <c r="AJ16" s="141">
        <f t="shared" si="19"/>
        <v>354.01250000000005</v>
      </c>
      <c r="AK16" s="141">
        <f t="shared" si="20"/>
        <v>1524</v>
      </c>
      <c r="AL16" s="141">
        <f t="shared" si="2"/>
        <v>90983.203409090915</v>
      </c>
      <c r="AM16" s="172">
        <f t="shared" si="3"/>
        <v>66534.203409090915</v>
      </c>
      <c r="AN16" s="140"/>
    </row>
    <row r="17" spans="1:40" x14ac:dyDescent="0.25">
      <c r="A17" s="176" t="s">
        <v>409</v>
      </c>
      <c r="B17" s="176" t="s">
        <v>410</v>
      </c>
      <c r="C17" t="s">
        <v>411</v>
      </c>
      <c r="D17" t="s">
        <v>405</v>
      </c>
      <c r="E17" s="175">
        <v>42297</v>
      </c>
      <c r="F17" s="176">
        <v>4</v>
      </c>
      <c r="G17" s="173">
        <v>7200</v>
      </c>
      <c r="H17" s="137">
        <f>F17*261</f>
        <v>1044</v>
      </c>
      <c r="I17" s="166">
        <f>G17+H17</f>
        <v>8244</v>
      </c>
      <c r="J17">
        <v>91</v>
      </c>
      <c r="K17">
        <v>3</v>
      </c>
      <c r="L17">
        <v>130</v>
      </c>
      <c r="M17">
        <v>130</v>
      </c>
      <c r="N17" s="167">
        <v>22819.615462184876</v>
      </c>
      <c r="O17">
        <v>5270</v>
      </c>
      <c r="P17" s="168">
        <f>L17*$N$3</f>
        <v>725.4</v>
      </c>
      <c r="Q17" s="168">
        <f>M17*$N$4</f>
        <v>1014</v>
      </c>
      <c r="R17" s="169">
        <f t="shared" si="1"/>
        <v>5.4545454545454543E-2</v>
      </c>
      <c r="S17" s="168">
        <f t="shared" si="7"/>
        <v>27.27272727272727</v>
      </c>
      <c r="T17" s="168">
        <f t="shared" si="8"/>
        <v>365.07545454545448</v>
      </c>
      <c r="U17" s="168">
        <f t="shared" si="9"/>
        <v>55.344545454545454</v>
      </c>
      <c r="V17" s="168">
        <f t="shared" si="10"/>
        <v>309.73090909090905</v>
      </c>
      <c r="W17" s="168">
        <f t="shared" si="11"/>
        <v>4.963636363636363</v>
      </c>
      <c r="X17" s="168">
        <f t="shared" si="12"/>
        <v>19.854545454545452</v>
      </c>
      <c r="Y17" s="170">
        <f t="shared" si="13"/>
        <v>30221.36364400306</v>
      </c>
      <c r="Z17">
        <v>91</v>
      </c>
      <c r="AA17">
        <v>4</v>
      </c>
      <c r="AB17">
        <f>Z17*AA17</f>
        <v>364</v>
      </c>
      <c r="AC17" s="168">
        <f>Z17*$AC$3</f>
        <v>1014.65</v>
      </c>
      <c r="AD17" s="168">
        <f>AB17*6</f>
        <v>2184</v>
      </c>
      <c r="AE17" s="140">
        <f>(AC17+AD17)</f>
        <v>3198.65</v>
      </c>
      <c r="AF17" s="171">
        <v>0.05</v>
      </c>
      <c r="AG17" s="197">
        <f t="shared" si="16"/>
        <v>4.55</v>
      </c>
      <c r="AH17" s="197">
        <f t="shared" si="17"/>
        <v>18.2</v>
      </c>
      <c r="AI17" s="141">
        <f>AE17*AF17</f>
        <v>159.9325</v>
      </c>
      <c r="AJ17" s="141">
        <f t="shared" si="19"/>
        <v>50.732500000000002</v>
      </c>
      <c r="AK17" s="141">
        <f t="shared" si="20"/>
        <v>109.2</v>
      </c>
      <c r="AL17" s="141">
        <f>Y17+AI17</f>
        <v>30381.296144003059</v>
      </c>
      <c r="AM17" s="172">
        <f t="shared" si="3"/>
        <v>22137.296144003059</v>
      </c>
      <c r="AN17" s="140"/>
    </row>
    <row r="18" spans="1:40" x14ac:dyDescent="0.25">
      <c r="A18" t="s">
        <v>387</v>
      </c>
      <c r="B18" t="s">
        <v>412</v>
      </c>
      <c r="C18" t="s">
        <v>401</v>
      </c>
      <c r="D18" t="s">
        <v>405</v>
      </c>
      <c r="E18" s="175">
        <v>42338</v>
      </c>
      <c r="F18" s="176">
        <v>15</v>
      </c>
      <c r="G18" s="173">
        <v>22500</v>
      </c>
      <c r="H18" s="137">
        <f t="shared" si="4"/>
        <v>3915</v>
      </c>
      <c r="I18" s="166">
        <f t="shared" si="23"/>
        <v>26415</v>
      </c>
      <c r="J18" s="176">
        <v>22000</v>
      </c>
      <c r="K18">
        <v>8</v>
      </c>
      <c r="L18" s="142">
        <v>22000</v>
      </c>
      <c r="M18" s="142">
        <v>44000</v>
      </c>
      <c r="N18" s="167">
        <v>347925.63025210088</v>
      </c>
      <c r="O18">
        <v>20128</v>
      </c>
      <c r="P18" s="168">
        <f t="shared" ref="P18:P36" si="24">L18*$N$3</f>
        <v>122760</v>
      </c>
      <c r="Q18" s="168">
        <f t="shared" ref="Q18:Q36" si="25">M18*$N$4</f>
        <v>343200</v>
      </c>
      <c r="R18" s="169">
        <f t="shared" si="1"/>
        <v>0.14545454545454545</v>
      </c>
      <c r="S18" s="168">
        <f t="shared" si="7"/>
        <v>72.72727272727272</v>
      </c>
      <c r="T18" s="168">
        <f t="shared" si="8"/>
        <v>235360</v>
      </c>
      <c r="U18" s="168">
        <f t="shared" si="9"/>
        <v>35680</v>
      </c>
      <c r="V18" s="168">
        <f t="shared" si="10"/>
        <v>199680</v>
      </c>
      <c r="W18" s="168">
        <f t="shared" si="11"/>
        <v>3200</v>
      </c>
      <c r="X18" s="168">
        <f t="shared" si="12"/>
        <v>12800</v>
      </c>
      <c r="Y18" s="170">
        <f t="shared" si="13"/>
        <v>1069446.3575248281</v>
      </c>
      <c r="Z18" s="176">
        <v>22000</v>
      </c>
      <c r="AA18">
        <v>4</v>
      </c>
      <c r="AB18">
        <f t="shared" si="21"/>
        <v>88000</v>
      </c>
      <c r="AC18" s="168">
        <f t="shared" ref="AC18:AC36" si="26">Z18*$AC$3</f>
        <v>245300</v>
      </c>
      <c r="AD18" s="168">
        <f t="shared" ref="AD18:AD36" si="27">AB18*6</f>
        <v>528000</v>
      </c>
      <c r="AE18" s="140">
        <f t="shared" ref="AE18:AE36" si="28">(AC18+AD18)</f>
        <v>773300</v>
      </c>
      <c r="AF18" s="171">
        <v>0.05</v>
      </c>
      <c r="AG18" s="197">
        <f t="shared" si="16"/>
        <v>1100</v>
      </c>
      <c r="AH18" s="197">
        <f t="shared" si="17"/>
        <v>4400</v>
      </c>
      <c r="AI18" s="141">
        <f t="shared" si="18"/>
        <v>38665</v>
      </c>
      <c r="AJ18" s="141">
        <f t="shared" si="19"/>
        <v>12265</v>
      </c>
      <c r="AK18" s="141">
        <f t="shared" si="20"/>
        <v>26400</v>
      </c>
      <c r="AL18" s="141">
        <f t="shared" si="2"/>
        <v>1108111.3575248281</v>
      </c>
      <c r="AM18" s="172">
        <f t="shared" si="3"/>
        <v>1081696.3575248281</v>
      </c>
      <c r="AN18" s="140"/>
    </row>
    <row r="19" spans="1:40" x14ac:dyDescent="0.25">
      <c r="A19" s="176" t="s">
        <v>409</v>
      </c>
      <c r="B19" s="176" t="s">
        <v>413</v>
      </c>
      <c r="C19" s="176" t="s">
        <v>411</v>
      </c>
      <c r="D19" s="176" t="s">
        <v>414</v>
      </c>
      <c r="E19" s="175">
        <v>42353</v>
      </c>
      <c r="F19" s="176">
        <v>4</v>
      </c>
      <c r="G19" s="137">
        <v>7500</v>
      </c>
      <c r="H19" s="137">
        <f>F19*261</f>
        <v>1044</v>
      </c>
      <c r="I19" s="166">
        <f>G19+H19</f>
        <v>8544</v>
      </c>
      <c r="J19">
        <v>591</v>
      </c>
      <c r="K19">
        <v>1</v>
      </c>
      <c r="L19">
        <v>1182</v>
      </c>
      <c r="M19">
        <v>591</v>
      </c>
      <c r="N19">
        <v>54689</v>
      </c>
      <c r="O19">
        <v>5782</v>
      </c>
      <c r="P19" s="168">
        <f>L19*$N$3</f>
        <v>6595.56</v>
      </c>
      <c r="Q19" s="168">
        <f>M19*$N$4</f>
        <v>4609.8</v>
      </c>
      <c r="R19" s="169">
        <f t="shared" si="1"/>
        <v>1.8181818181818181E-2</v>
      </c>
      <c r="S19" s="168">
        <f t="shared" si="7"/>
        <v>9.0909090909090899</v>
      </c>
      <c r="T19" s="168">
        <f t="shared" si="8"/>
        <v>790.32818181818186</v>
      </c>
      <c r="U19" s="168">
        <f t="shared" si="9"/>
        <v>119.81181818181818</v>
      </c>
      <c r="V19" s="168">
        <f t="shared" si="10"/>
        <v>670.51636363636351</v>
      </c>
      <c r="W19" s="168">
        <f t="shared" si="11"/>
        <v>10.745454545454544</v>
      </c>
      <c r="X19" s="168">
        <f t="shared" si="12"/>
        <v>42.981818181818177</v>
      </c>
      <c r="Y19" s="170">
        <f t="shared" si="13"/>
        <v>72475.779090909098</v>
      </c>
      <c r="Z19">
        <v>63301</v>
      </c>
      <c r="AA19">
        <v>4</v>
      </c>
      <c r="AB19">
        <f>Z19*AA19</f>
        <v>253204</v>
      </c>
      <c r="AC19" s="168">
        <f>Z19*$AC$3</f>
        <v>705806.15</v>
      </c>
      <c r="AD19" s="168">
        <f>AB19*6</f>
        <v>1519224</v>
      </c>
      <c r="AE19" s="140">
        <f>(AC19+AD19)</f>
        <v>2225030.15</v>
      </c>
      <c r="AF19" s="171">
        <v>0.05</v>
      </c>
      <c r="AG19" s="197">
        <f t="shared" si="16"/>
        <v>3165.05</v>
      </c>
      <c r="AH19" s="197">
        <f t="shared" si="17"/>
        <v>12660.2</v>
      </c>
      <c r="AI19" s="141">
        <f>AE19*AF19</f>
        <v>111251.50750000001</v>
      </c>
      <c r="AJ19" s="141">
        <f t="shared" si="19"/>
        <v>35290.307500000003</v>
      </c>
      <c r="AK19" s="141">
        <f t="shared" si="20"/>
        <v>75961.2</v>
      </c>
      <c r="AL19" s="141">
        <f>Y19+AI19</f>
        <v>183727.28659090912</v>
      </c>
      <c r="AM19" s="172">
        <f t="shared" si="3"/>
        <v>175183.28659090912</v>
      </c>
      <c r="AN19" s="140"/>
    </row>
    <row r="20" spans="1:40" x14ac:dyDescent="0.25">
      <c r="A20" s="176" t="s">
        <v>387</v>
      </c>
      <c r="B20" s="176" t="s">
        <v>415</v>
      </c>
      <c r="C20" s="176" t="s">
        <v>415</v>
      </c>
      <c r="D20" s="176" t="s">
        <v>405</v>
      </c>
      <c r="E20" s="175">
        <v>42426</v>
      </c>
      <c r="F20" s="176">
        <v>15</v>
      </c>
      <c r="G20" s="137">
        <v>25000</v>
      </c>
      <c r="H20" s="137">
        <f>F20*261</f>
        <v>3915</v>
      </c>
      <c r="I20" s="166">
        <f>G20+H20</f>
        <v>28915</v>
      </c>
      <c r="P20" s="168"/>
      <c r="Q20" s="168"/>
      <c r="R20" s="168"/>
      <c r="S20" s="168">
        <f t="shared" si="7"/>
        <v>0</v>
      </c>
      <c r="T20" s="168"/>
      <c r="U20" s="168"/>
      <c r="V20" s="168"/>
      <c r="W20" s="168"/>
      <c r="X20" s="168"/>
      <c r="Y20" s="170"/>
      <c r="AC20" s="168"/>
      <c r="AD20" s="168"/>
      <c r="AE20" s="140"/>
      <c r="AF20" s="140"/>
      <c r="AG20" s="140"/>
      <c r="AH20" s="140"/>
      <c r="AI20" s="141"/>
      <c r="AJ20" s="141"/>
      <c r="AK20" s="141"/>
      <c r="AL20" s="141"/>
      <c r="AM20" s="172">
        <f>-I20</f>
        <v>-28915</v>
      </c>
      <c r="AN20" s="140"/>
    </row>
    <row r="21" spans="1:40" x14ac:dyDescent="0.25">
      <c r="A21" s="177"/>
      <c r="B21" s="177"/>
      <c r="C21" s="177"/>
      <c r="D21" s="177"/>
      <c r="E21" s="178"/>
      <c r="F21" s="145"/>
      <c r="G21" s="137"/>
      <c r="H21" s="137"/>
      <c r="I21" s="166"/>
      <c r="P21" s="168"/>
      <c r="Q21" s="168"/>
      <c r="R21" s="168"/>
      <c r="S21" s="168"/>
      <c r="T21" s="168"/>
      <c r="U21" s="168"/>
      <c r="V21" s="168"/>
      <c r="W21" s="168"/>
      <c r="X21" s="168"/>
      <c r="Y21" s="170"/>
      <c r="AC21" s="168"/>
      <c r="AD21" s="168"/>
      <c r="AE21" s="140"/>
      <c r="AF21" s="140"/>
      <c r="AG21" s="140"/>
      <c r="AH21" s="140"/>
      <c r="AI21" s="141"/>
      <c r="AJ21" s="141"/>
      <c r="AK21" s="141"/>
      <c r="AL21" s="141"/>
      <c r="AM21" s="172"/>
      <c r="AN21" s="140"/>
    </row>
    <row r="22" spans="1:40" x14ac:dyDescent="0.25">
      <c r="A22" s="177"/>
      <c r="B22" s="177"/>
      <c r="C22" s="177"/>
      <c r="D22" s="177"/>
      <c r="E22" s="178"/>
      <c r="F22" s="145"/>
      <c r="G22" s="179"/>
      <c r="H22" s="137">
        <f t="shared" si="4"/>
        <v>0</v>
      </c>
      <c r="I22" s="166">
        <f t="shared" si="23"/>
        <v>0</v>
      </c>
      <c r="P22" s="168">
        <f t="shared" si="24"/>
        <v>0</v>
      </c>
      <c r="Q22" s="168">
        <f t="shared" si="25"/>
        <v>0</v>
      </c>
      <c r="R22" s="168"/>
      <c r="S22" s="168"/>
      <c r="T22" s="168"/>
      <c r="U22" s="168"/>
      <c r="V22" s="168"/>
      <c r="W22" s="168"/>
      <c r="X22" s="168"/>
      <c r="Y22" s="170">
        <f t="shared" ref="Y22:Y27" si="29">Q22+P22+N22+O22</f>
        <v>0</v>
      </c>
      <c r="AB22">
        <f t="shared" si="21"/>
        <v>0</v>
      </c>
      <c r="AC22" s="168">
        <f t="shared" si="26"/>
        <v>0</v>
      </c>
      <c r="AD22" s="168">
        <f t="shared" si="27"/>
        <v>0</v>
      </c>
      <c r="AE22" s="140">
        <f t="shared" si="28"/>
        <v>0</v>
      </c>
      <c r="AF22" s="171"/>
      <c r="AG22" s="171"/>
      <c r="AH22" s="171"/>
      <c r="AI22" s="141">
        <f t="shared" si="18"/>
        <v>0</v>
      </c>
      <c r="AJ22" s="141"/>
      <c r="AK22" s="141"/>
      <c r="AL22" s="141">
        <f t="shared" si="2"/>
        <v>0</v>
      </c>
      <c r="AM22" s="172">
        <f t="shared" si="3"/>
        <v>0</v>
      </c>
      <c r="AN22" s="140"/>
    </row>
    <row r="23" spans="1:40" x14ac:dyDescent="0.25">
      <c r="A23" s="177"/>
      <c r="B23" s="177"/>
      <c r="C23" s="177"/>
      <c r="D23" s="177"/>
      <c r="E23" s="178"/>
      <c r="F23" s="145"/>
      <c r="G23" s="137"/>
      <c r="H23" s="137">
        <f>F23*261</f>
        <v>0</v>
      </c>
      <c r="I23" s="166">
        <f>G23+H23</f>
        <v>0</v>
      </c>
      <c r="P23" s="168">
        <f>L23*$N$3</f>
        <v>0</v>
      </c>
      <c r="Q23" s="168">
        <f>M23*$N$4</f>
        <v>0</v>
      </c>
      <c r="R23" s="168"/>
      <c r="S23" s="168"/>
      <c r="T23" s="168"/>
      <c r="U23" s="168"/>
      <c r="V23" s="168"/>
      <c r="W23" s="168"/>
      <c r="X23" s="168"/>
      <c r="Y23" s="170">
        <f t="shared" si="29"/>
        <v>0</v>
      </c>
      <c r="AB23">
        <f>Z23*AA23</f>
        <v>0</v>
      </c>
      <c r="AC23" s="168">
        <f>Z23*$AC$3</f>
        <v>0</v>
      </c>
      <c r="AD23" s="168">
        <f>AB23*6</f>
        <v>0</v>
      </c>
      <c r="AE23" s="140">
        <f>(AC23+AD23)</f>
        <v>0</v>
      </c>
      <c r="AF23" s="140"/>
      <c r="AG23" s="140"/>
      <c r="AH23" s="140"/>
      <c r="AI23" s="141">
        <f>AE23*AF23</f>
        <v>0</v>
      </c>
      <c r="AJ23" s="141"/>
      <c r="AK23" s="141"/>
      <c r="AL23" s="141">
        <f>Y23+AI23</f>
        <v>0</v>
      </c>
      <c r="AM23" s="172">
        <f t="shared" si="3"/>
        <v>0</v>
      </c>
      <c r="AN23" s="140"/>
    </row>
    <row r="24" spans="1:40" x14ac:dyDescent="0.25">
      <c r="A24" s="177"/>
      <c r="B24" s="177"/>
      <c r="C24" s="177"/>
      <c r="D24" s="177"/>
      <c r="E24" s="178"/>
      <c r="F24" s="145"/>
      <c r="G24" s="137"/>
      <c r="H24" s="137">
        <f t="shared" si="4"/>
        <v>0</v>
      </c>
      <c r="I24" s="166">
        <f t="shared" si="23"/>
        <v>0</v>
      </c>
      <c r="P24" s="168">
        <f t="shared" si="24"/>
        <v>0</v>
      </c>
      <c r="Q24" s="168">
        <f t="shared" si="25"/>
        <v>0</v>
      </c>
      <c r="R24" s="168"/>
      <c r="S24" s="168"/>
      <c r="T24" s="168"/>
      <c r="U24" s="168"/>
      <c r="V24" s="168"/>
      <c r="W24" s="168"/>
      <c r="X24" s="168"/>
      <c r="Y24" s="170">
        <f t="shared" si="29"/>
        <v>0</v>
      </c>
      <c r="AB24">
        <f t="shared" si="21"/>
        <v>0</v>
      </c>
      <c r="AC24" s="168">
        <f t="shared" si="26"/>
        <v>0</v>
      </c>
      <c r="AD24" s="168">
        <f t="shared" si="27"/>
        <v>0</v>
      </c>
      <c r="AE24" s="140">
        <f t="shared" si="28"/>
        <v>0</v>
      </c>
      <c r="AF24" s="140"/>
      <c r="AG24" s="140"/>
      <c r="AH24" s="140"/>
      <c r="AI24" s="141">
        <f t="shared" si="18"/>
        <v>0</v>
      </c>
      <c r="AJ24" s="141"/>
      <c r="AK24" s="141"/>
      <c r="AL24" s="141">
        <f t="shared" si="2"/>
        <v>0</v>
      </c>
      <c r="AM24" s="172">
        <f t="shared" si="3"/>
        <v>0</v>
      </c>
      <c r="AN24" s="140"/>
    </row>
    <row r="25" spans="1:40" x14ac:dyDescent="0.25">
      <c r="E25" s="178"/>
      <c r="F25" s="145"/>
      <c r="G25" s="137"/>
      <c r="H25" s="137">
        <f t="shared" si="4"/>
        <v>0</v>
      </c>
      <c r="I25" s="166">
        <f t="shared" si="23"/>
        <v>0</v>
      </c>
      <c r="P25" s="168">
        <f t="shared" si="24"/>
        <v>0</v>
      </c>
      <c r="Q25" s="168">
        <f t="shared" si="25"/>
        <v>0</v>
      </c>
      <c r="R25" s="168"/>
      <c r="S25" s="168"/>
      <c r="T25" s="168"/>
      <c r="U25" s="168"/>
      <c r="V25" s="168"/>
      <c r="W25" s="168"/>
      <c r="X25" s="168"/>
      <c r="Y25" s="170">
        <f t="shared" si="29"/>
        <v>0</v>
      </c>
      <c r="AB25">
        <f t="shared" si="21"/>
        <v>0</v>
      </c>
      <c r="AC25" s="168">
        <f t="shared" si="26"/>
        <v>0</v>
      </c>
      <c r="AD25" s="168">
        <f t="shared" si="27"/>
        <v>0</v>
      </c>
      <c r="AE25" s="140">
        <f t="shared" si="28"/>
        <v>0</v>
      </c>
      <c r="AF25" s="140"/>
      <c r="AG25" s="140"/>
      <c r="AH25" s="140"/>
      <c r="AI25" s="141">
        <f t="shared" si="18"/>
        <v>0</v>
      </c>
      <c r="AJ25" s="141"/>
      <c r="AK25" s="141"/>
      <c r="AL25" s="141">
        <f t="shared" si="2"/>
        <v>0</v>
      </c>
      <c r="AM25" s="172">
        <f t="shared" si="3"/>
        <v>0</v>
      </c>
      <c r="AN25" s="140"/>
    </row>
    <row r="26" spans="1:40" x14ac:dyDescent="0.25">
      <c r="A26" s="177"/>
      <c r="B26" s="177"/>
      <c r="C26" s="177"/>
      <c r="D26" s="177"/>
      <c r="E26" s="178"/>
      <c r="F26" s="145"/>
      <c r="G26" s="137"/>
      <c r="H26" s="137">
        <f t="shared" si="4"/>
        <v>0</v>
      </c>
      <c r="I26" s="166">
        <f t="shared" si="23"/>
        <v>0</v>
      </c>
      <c r="P26" s="168">
        <f t="shared" si="24"/>
        <v>0</v>
      </c>
      <c r="Q26" s="168">
        <f t="shared" si="25"/>
        <v>0</v>
      </c>
      <c r="R26" s="168"/>
      <c r="S26" s="168"/>
      <c r="T26" s="168"/>
      <c r="U26" s="168"/>
      <c r="V26" s="168"/>
      <c r="W26" s="168"/>
      <c r="X26" s="168"/>
      <c r="Y26" s="170">
        <f t="shared" si="29"/>
        <v>0</v>
      </c>
      <c r="AB26">
        <f t="shared" si="21"/>
        <v>0</v>
      </c>
      <c r="AC26" s="168">
        <f t="shared" si="26"/>
        <v>0</v>
      </c>
      <c r="AD26" s="168">
        <f t="shared" si="27"/>
        <v>0</v>
      </c>
      <c r="AE26" s="140">
        <f t="shared" si="28"/>
        <v>0</v>
      </c>
      <c r="AF26" s="140"/>
      <c r="AG26" s="140"/>
      <c r="AH26" s="140"/>
      <c r="AI26" s="141">
        <f t="shared" si="18"/>
        <v>0</v>
      </c>
      <c r="AJ26" s="141"/>
      <c r="AK26" s="141"/>
      <c r="AL26" s="141">
        <f t="shared" si="2"/>
        <v>0</v>
      </c>
      <c r="AM26" s="172">
        <f t="shared" si="3"/>
        <v>0</v>
      </c>
      <c r="AN26" s="140"/>
    </row>
    <row r="27" spans="1:40" x14ac:dyDescent="0.25">
      <c r="A27" s="177"/>
      <c r="B27" s="177"/>
      <c r="C27" s="177"/>
      <c r="D27" s="177"/>
      <c r="E27" s="178"/>
      <c r="F27" s="145"/>
      <c r="G27" s="137"/>
      <c r="H27" s="137">
        <f t="shared" si="4"/>
        <v>0</v>
      </c>
      <c r="I27" s="166">
        <f t="shared" si="23"/>
        <v>0</v>
      </c>
      <c r="P27" s="168">
        <f t="shared" si="24"/>
        <v>0</v>
      </c>
      <c r="Q27" s="168">
        <f t="shared" si="25"/>
        <v>0</v>
      </c>
      <c r="R27" s="168"/>
      <c r="S27" s="168"/>
      <c r="T27" s="168"/>
      <c r="U27" s="168"/>
      <c r="V27" s="168"/>
      <c r="W27" s="168"/>
      <c r="X27" s="168"/>
      <c r="Y27" s="170">
        <f t="shared" si="29"/>
        <v>0</v>
      </c>
      <c r="AB27">
        <f t="shared" si="21"/>
        <v>0</v>
      </c>
      <c r="AC27" s="168">
        <f t="shared" si="26"/>
        <v>0</v>
      </c>
      <c r="AD27" s="168">
        <f t="shared" si="27"/>
        <v>0</v>
      </c>
      <c r="AE27" s="140">
        <f t="shared" si="28"/>
        <v>0</v>
      </c>
      <c r="AF27" s="140"/>
      <c r="AG27" s="140"/>
      <c r="AH27" s="140"/>
      <c r="AI27" s="141">
        <f t="shared" si="18"/>
        <v>0</v>
      </c>
      <c r="AJ27" s="141"/>
      <c r="AK27" s="141"/>
      <c r="AL27" s="141">
        <f t="shared" si="2"/>
        <v>0</v>
      </c>
      <c r="AM27" s="172">
        <f t="shared" si="3"/>
        <v>0</v>
      </c>
      <c r="AN27" s="140"/>
    </row>
    <row r="28" spans="1:40" x14ac:dyDescent="0.25">
      <c r="A28" s="177"/>
      <c r="B28" s="177"/>
      <c r="F28" s="145"/>
      <c r="G28" s="137"/>
      <c r="H28" s="137">
        <f t="shared" si="4"/>
        <v>0</v>
      </c>
      <c r="I28" s="166">
        <f t="shared" si="23"/>
        <v>0</v>
      </c>
      <c r="P28" s="168">
        <f t="shared" si="24"/>
        <v>0</v>
      </c>
      <c r="Q28" s="168">
        <f t="shared" si="25"/>
        <v>0</v>
      </c>
      <c r="R28" s="168"/>
      <c r="S28" s="168"/>
      <c r="T28" s="168"/>
      <c r="U28" s="168"/>
      <c r="V28" s="168"/>
      <c r="W28" s="168"/>
      <c r="X28" s="168"/>
      <c r="Y28" s="170">
        <f t="shared" ref="Y28:Y36" si="30">Q28+P28+N28</f>
        <v>0</v>
      </c>
      <c r="AB28">
        <f t="shared" si="21"/>
        <v>0</v>
      </c>
      <c r="AC28" s="168">
        <f t="shared" si="26"/>
        <v>0</v>
      </c>
      <c r="AD28" s="168">
        <f t="shared" si="27"/>
        <v>0</v>
      </c>
      <c r="AE28" s="140">
        <f t="shared" si="28"/>
        <v>0</v>
      </c>
      <c r="AF28" s="140"/>
      <c r="AG28" s="140"/>
      <c r="AH28" s="140"/>
      <c r="AI28" s="141">
        <f t="shared" si="18"/>
        <v>0</v>
      </c>
      <c r="AJ28" s="141"/>
      <c r="AK28" s="141"/>
      <c r="AL28" s="141">
        <f t="shared" si="2"/>
        <v>0</v>
      </c>
      <c r="AM28" s="172">
        <f t="shared" si="3"/>
        <v>0</v>
      </c>
      <c r="AN28" s="140"/>
    </row>
    <row r="29" spans="1:40" ht="15.75" thickBot="1" x14ac:dyDescent="0.3">
      <c r="G29" s="137"/>
      <c r="H29" s="137">
        <f t="shared" si="4"/>
        <v>0</v>
      </c>
      <c r="I29" s="166">
        <f t="shared" si="23"/>
        <v>0</v>
      </c>
      <c r="P29" s="168">
        <f t="shared" si="24"/>
        <v>0</v>
      </c>
      <c r="Q29" s="168">
        <f t="shared" si="25"/>
        <v>0</v>
      </c>
      <c r="R29" s="168"/>
      <c r="S29" s="168"/>
      <c r="T29" s="168"/>
      <c r="U29" s="168"/>
      <c r="V29" s="168"/>
      <c r="W29" s="168"/>
      <c r="X29" s="168"/>
      <c r="Y29" s="170">
        <f t="shared" si="30"/>
        <v>0</v>
      </c>
      <c r="AB29">
        <f t="shared" si="21"/>
        <v>0</v>
      </c>
      <c r="AC29" s="168">
        <f t="shared" si="26"/>
        <v>0</v>
      </c>
      <c r="AD29" s="168">
        <f t="shared" si="27"/>
        <v>0</v>
      </c>
      <c r="AE29" s="140">
        <f t="shared" si="28"/>
        <v>0</v>
      </c>
      <c r="AF29" s="140"/>
      <c r="AG29" s="140"/>
      <c r="AH29" s="140"/>
      <c r="AI29" s="141">
        <f t="shared" si="18"/>
        <v>0</v>
      </c>
      <c r="AJ29" s="141"/>
      <c r="AK29" s="141"/>
      <c r="AL29" s="141">
        <f t="shared" si="2"/>
        <v>0</v>
      </c>
      <c r="AM29" s="172">
        <f t="shared" si="3"/>
        <v>0</v>
      </c>
      <c r="AN29" s="140"/>
    </row>
    <row r="30" spans="1:40" x14ac:dyDescent="0.25">
      <c r="B30" s="202" t="s">
        <v>452</v>
      </c>
      <c r="C30" s="203"/>
      <c r="D30" s="214">
        <v>200</v>
      </c>
      <c r="G30" s="137"/>
      <c r="H30" s="137">
        <f t="shared" si="4"/>
        <v>0</v>
      </c>
      <c r="I30" s="166">
        <f t="shared" si="23"/>
        <v>0</v>
      </c>
      <c r="P30" s="168">
        <f t="shared" si="24"/>
        <v>0</v>
      </c>
      <c r="Q30" s="168">
        <f t="shared" si="25"/>
        <v>0</v>
      </c>
      <c r="R30" s="168"/>
      <c r="S30" s="168"/>
      <c r="T30" s="168"/>
      <c r="U30" s="168"/>
      <c r="V30" s="168"/>
      <c r="W30" s="168"/>
      <c r="X30" s="168"/>
      <c r="Y30" s="170">
        <f t="shared" si="30"/>
        <v>0</v>
      </c>
      <c r="AB30">
        <f t="shared" si="21"/>
        <v>0</v>
      </c>
      <c r="AC30" s="168">
        <f t="shared" si="26"/>
        <v>0</v>
      </c>
      <c r="AD30" s="168">
        <f t="shared" si="27"/>
        <v>0</v>
      </c>
      <c r="AE30" s="140">
        <f t="shared" si="28"/>
        <v>0</v>
      </c>
      <c r="AF30" s="140"/>
      <c r="AG30" s="140"/>
      <c r="AH30" s="140"/>
      <c r="AI30" s="141">
        <f t="shared" si="18"/>
        <v>0</v>
      </c>
      <c r="AJ30" s="141"/>
      <c r="AK30" s="141"/>
      <c r="AL30" s="141">
        <f t="shared" si="2"/>
        <v>0</v>
      </c>
      <c r="AM30" s="172">
        <f t="shared" si="3"/>
        <v>0</v>
      </c>
      <c r="AN30" s="140"/>
    </row>
    <row r="31" spans="1:40" x14ac:dyDescent="0.25">
      <c r="B31" s="204" t="s">
        <v>451</v>
      </c>
      <c r="C31" s="129"/>
      <c r="D31" s="205">
        <f>SUM(F8:F20)</f>
        <v>119</v>
      </c>
      <c r="G31" s="137"/>
      <c r="H31" s="137">
        <f t="shared" si="4"/>
        <v>0</v>
      </c>
      <c r="I31" s="166">
        <f t="shared" si="23"/>
        <v>0</v>
      </c>
      <c r="P31" s="168">
        <f t="shared" si="24"/>
        <v>0</v>
      </c>
      <c r="Q31" s="168">
        <f t="shared" si="25"/>
        <v>0</v>
      </c>
      <c r="R31" s="168"/>
      <c r="S31" s="168"/>
      <c r="T31" s="168"/>
      <c r="U31" s="168"/>
      <c r="V31" s="168"/>
      <c r="W31" s="168"/>
      <c r="X31" s="168"/>
      <c r="Y31" s="170">
        <f t="shared" si="30"/>
        <v>0</v>
      </c>
      <c r="AB31">
        <f t="shared" si="21"/>
        <v>0</v>
      </c>
      <c r="AC31" s="168">
        <f t="shared" si="26"/>
        <v>0</v>
      </c>
      <c r="AD31" s="168">
        <f t="shared" si="27"/>
        <v>0</v>
      </c>
      <c r="AE31" s="140">
        <f t="shared" si="28"/>
        <v>0</v>
      </c>
      <c r="AF31" s="140"/>
      <c r="AG31" s="140"/>
      <c r="AH31" s="140"/>
      <c r="AI31" s="141">
        <f t="shared" si="18"/>
        <v>0</v>
      </c>
      <c r="AJ31" s="141"/>
      <c r="AK31" s="141"/>
      <c r="AL31" s="141">
        <f t="shared" si="2"/>
        <v>0</v>
      </c>
      <c r="AM31" s="172">
        <f t="shared" si="3"/>
        <v>0</v>
      </c>
      <c r="AN31" s="140"/>
    </row>
    <row r="32" spans="1:40" x14ac:dyDescent="0.25">
      <c r="B32" s="204" t="s">
        <v>450</v>
      </c>
      <c r="C32" s="129"/>
      <c r="D32" s="205">
        <f>D30*D31</f>
        <v>23800</v>
      </c>
      <c r="G32" s="137"/>
      <c r="H32" s="137">
        <f t="shared" si="4"/>
        <v>0</v>
      </c>
      <c r="I32" s="166">
        <f t="shared" si="23"/>
        <v>0</v>
      </c>
      <c r="P32" s="168">
        <f t="shared" si="24"/>
        <v>0</v>
      </c>
      <c r="Q32" s="168">
        <f t="shared" si="25"/>
        <v>0</v>
      </c>
      <c r="R32" s="168"/>
      <c r="S32" s="168"/>
      <c r="T32" s="168"/>
      <c r="U32" s="168"/>
      <c r="V32" s="168"/>
      <c r="W32" s="168"/>
      <c r="X32" s="168"/>
      <c r="Y32" s="170">
        <f t="shared" si="30"/>
        <v>0</v>
      </c>
      <c r="AB32">
        <f t="shared" si="21"/>
        <v>0</v>
      </c>
      <c r="AC32" s="168">
        <f t="shared" si="26"/>
        <v>0</v>
      </c>
      <c r="AD32" s="168">
        <f t="shared" si="27"/>
        <v>0</v>
      </c>
      <c r="AE32" s="140">
        <f t="shared" si="28"/>
        <v>0</v>
      </c>
      <c r="AF32" s="140"/>
      <c r="AG32" s="140"/>
      <c r="AH32" s="140"/>
      <c r="AI32" s="141">
        <f t="shared" si="18"/>
        <v>0</v>
      </c>
      <c r="AJ32" s="141"/>
      <c r="AK32" s="141"/>
      <c r="AL32" s="141">
        <f t="shared" si="2"/>
        <v>0</v>
      </c>
      <c r="AM32" s="172">
        <f t="shared" si="3"/>
        <v>0</v>
      </c>
      <c r="AN32" s="140"/>
    </row>
    <row r="33" spans="1:40" x14ac:dyDescent="0.25">
      <c r="B33" s="204" t="s">
        <v>444</v>
      </c>
      <c r="C33" s="129"/>
      <c r="D33" s="205">
        <v>2.6761400000000002</v>
      </c>
      <c r="G33" s="137"/>
      <c r="H33" s="137">
        <f t="shared" si="4"/>
        <v>0</v>
      </c>
      <c r="I33" s="166">
        <f t="shared" si="23"/>
        <v>0</v>
      </c>
      <c r="P33" s="168">
        <f t="shared" si="24"/>
        <v>0</v>
      </c>
      <c r="Q33" s="168">
        <f t="shared" si="25"/>
        <v>0</v>
      </c>
      <c r="R33" s="168"/>
      <c r="S33" s="168"/>
      <c r="T33" s="168"/>
      <c r="U33" s="168"/>
      <c r="V33" s="168"/>
      <c r="W33" s="168"/>
      <c r="X33" s="168"/>
      <c r="Y33" s="170">
        <f t="shared" si="30"/>
        <v>0</v>
      </c>
      <c r="AB33">
        <f t="shared" si="21"/>
        <v>0</v>
      </c>
      <c r="AC33" s="168">
        <f t="shared" si="26"/>
        <v>0</v>
      </c>
      <c r="AD33" s="168">
        <f t="shared" si="27"/>
        <v>0</v>
      </c>
      <c r="AE33" s="140">
        <f t="shared" si="28"/>
        <v>0</v>
      </c>
      <c r="AF33" s="140"/>
      <c r="AG33" s="140"/>
      <c r="AH33" s="140"/>
      <c r="AI33" s="141">
        <f t="shared" si="18"/>
        <v>0</v>
      </c>
      <c r="AJ33" s="141"/>
      <c r="AK33" s="141"/>
      <c r="AL33" s="141">
        <f t="shared" si="2"/>
        <v>0</v>
      </c>
      <c r="AM33" s="172">
        <f t="shared" si="3"/>
        <v>0</v>
      </c>
      <c r="AN33" s="140"/>
    </row>
    <row r="34" spans="1:40" x14ac:dyDescent="0.25">
      <c r="B34" s="204" t="s">
        <v>453</v>
      </c>
      <c r="C34" s="129"/>
      <c r="D34" s="205">
        <f>D32*D33</f>
        <v>63692.132000000005</v>
      </c>
      <c r="G34" s="137"/>
      <c r="H34" s="137">
        <f t="shared" si="4"/>
        <v>0</v>
      </c>
      <c r="I34" s="166">
        <f t="shared" si="23"/>
        <v>0</v>
      </c>
      <c r="P34" s="168">
        <f t="shared" si="24"/>
        <v>0</v>
      </c>
      <c r="Q34" s="168">
        <f t="shared" si="25"/>
        <v>0</v>
      </c>
      <c r="R34" s="168"/>
      <c r="S34" s="168"/>
      <c r="T34" s="168"/>
      <c r="U34" s="168"/>
      <c r="V34" s="168"/>
      <c r="W34" s="168"/>
      <c r="X34" s="168"/>
      <c r="Y34" s="170">
        <f t="shared" si="30"/>
        <v>0</v>
      </c>
      <c r="AB34">
        <f t="shared" si="21"/>
        <v>0</v>
      </c>
      <c r="AC34" s="168">
        <f t="shared" si="26"/>
        <v>0</v>
      </c>
      <c r="AD34" s="168">
        <f t="shared" si="27"/>
        <v>0</v>
      </c>
      <c r="AE34" s="140">
        <f t="shared" si="28"/>
        <v>0</v>
      </c>
      <c r="AF34" s="140"/>
      <c r="AG34" s="140"/>
      <c r="AH34" s="140"/>
      <c r="AI34" s="141">
        <f t="shared" si="18"/>
        <v>0</v>
      </c>
      <c r="AJ34" s="141"/>
      <c r="AK34" s="141"/>
      <c r="AL34" s="141">
        <f t="shared" si="2"/>
        <v>0</v>
      </c>
      <c r="AM34" s="172">
        <f t="shared" si="3"/>
        <v>0</v>
      </c>
      <c r="AN34" s="140"/>
    </row>
    <row r="35" spans="1:40" ht="15.75" thickBot="1" x14ac:dyDescent="0.3">
      <c r="B35" s="206" t="s">
        <v>454</v>
      </c>
      <c r="C35" s="207"/>
      <c r="D35" s="215">
        <f>D34/1000</f>
        <v>63.692132000000008</v>
      </c>
      <c r="G35" s="137"/>
      <c r="H35" s="137">
        <f t="shared" si="4"/>
        <v>0</v>
      </c>
      <c r="I35" s="166">
        <f t="shared" si="23"/>
        <v>0</v>
      </c>
      <c r="P35" s="168">
        <f t="shared" si="24"/>
        <v>0</v>
      </c>
      <c r="Q35" s="168">
        <f t="shared" si="25"/>
        <v>0</v>
      </c>
      <c r="R35" s="168"/>
      <c r="S35" s="168"/>
      <c r="T35" s="168"/>
      <c r="U35" s="168"/>
      <c r="V35" s="168"/>
      <c r="W35" s="168"/>
      <c r="X35" s="168"/>
      <c r="Y35" s="170">
        <f t="shared" si="30"/>
        <v>0</v>
      </c>
      <c r="AB35">
        <f t="shared" si="21"/>
        <v>0</v>
      </c>
      <c r="AC35" s="168">
        <f t="shared" si="26"/>
        <v>0</v>
      </c>
      <c r="AD35" s="168">
        <f t="shared" si="27"/>
        <v>0</v>
      </c>
      <c r="AE35" s="140">
        <f t="shared" si="28"/>
        <v>0</v>
      </c>
      <c r="AF35" s="140"/>
      <c r="AG35" s="140"/>
      <c r="AH35" s="140"/>
      <c r="AI35" s="141">
        <f t="shared" si="18"/>
        <v>0</v>
      </c>
      <c r="AJ35" s="141"/>
      <c r="AK35" s="141"/>
      <c r="AL35" s="141">
        <f t="shared" si="2"/>
        <v>0</v>
      </c>
      <c r="AM35" s="172">
        <f t="shared" si="3"/>
        <v>0</v>
      </c>
      <c r="AN35" s="140"/>
    </row>
    <row r="36" spans="1:40" x14ac:dyDescent="0.25">
      <c r="B36" s="216"/>
      <c r="G36" s="137"/>
      <c r="H36" s="137">
        <f t="shared" si="4"/>
        <v>0</v>
      </c>
      <c r="I36" s="166">
        <f t="shared" si="23"/>
        <v>0</v>
      </c>
      <c r="P36" s="168">
        <f t="shared" si="24"/>
        <v>0</v>
      </c>
      <c r="Q36" s="168">
        <f t="shared" si="25"/>
        <v>0</v>
      </c>
      <c r="R36" s="168"/>
      <c r="S36" s="168"/>
      <c r="T36" s="168"/>
      <c r="U36" s="168"/>
      <c r="V36" s="168"/>
      <c r="W36" s="168"/>
      <c r="X36" s="168"/>
      <c r="Y36" s="170">
        <f t="shared" si="30"/>
        <v>0</v>
      </c>
      <c r="AB36">
        <f t="shared" si="21"/>
        <v>0</v>
      </c>
      <c r="AC36" s="168">
        <f t="shared" si="26"/>
        <v>0</v>
      </c>
      <c r="AD36" s="168">
        <f t="shared" si="27"/>
        <v>0</v>
      </c>
      <c r="AE36" s="140">
        <f t="shared" si="28"/>
        <v>0</v>
      </c>
      <c r="AF36" s="140"/>
      <c r="AG36" s="140"/>
      <c r="AH36" s="140"/>
      <c r="AI36" s="141">
        <f t="shared" si="18"/>
        <v>0</v>
      </c>
      <c r="AJ36" s="141"/>
      <c r="AK36" s="141"/>
      <c r="AL36" s="141">
        <f t="shared" si="2"/>
        <v>0</v>
      </c>
      <c r="AM36" s="172">
        <f t="shared" si="3"/>
        <v>0</v>
      </c>
      <c r="AN36" s="140"/>
    </row>
    <row r="37" spans="1:40" x14ac:dyDescent="0.25">
      <c r="G37" s="137"/>
      <c r="H37" s="137"/>
      <c r="I37" s="210">
        <f>SUM(I8:I36)</f>
        <v>244509</v>
      </c>
      <c r="K37">
        <f>SUM(K8:K36)</f>
        <v>80</v>
      </c>
      <c r="L37">
        <f>SUM(L8:L36)</f>
        <v>27652</v>
      </c>
      <c r="M37">
        <f>SUM(M8:M36)</f>
        <v>56151</v>
      </c>
      <c r="N37" s="168">
        <f t="shared" ref="N37:P37" si="31">SUM(N8:N36)</f>
        <v>649193.84658823535</v>
      </c>
      <c r="O37" s="168">
        <f t="shared" si="31"/>
        <v>65848</v>
      </c>
      <c r="P37" s="168">
        <f t="shared" si="31"/>
        <v>154298.16</v>
      </c>
      <c r="Q37" s="168">
        <f>SUM(Q8:Q36)</f>
        <v>437977.8</v>
      </c>
      <c r="R37" s="168"/>
      <c r="S37" s="168">
        <f>SUM(S8:S36)</f>
        <v>727.27272727272725</v>
      </c>
      <c r="T37" s="168">
        <f>SUM(T8:T36)</f>
        <v>255459.20909090911</v>
      </c>
      <c r="U37" s="168">
        <f>SUM(U8:U36)</f>
        <v>38726.990909090913</v>
      </c>
      <c r="V37" s="168">
        <f t="shared" ref="V37:X37" si="32">SUM(V8:V36)</f>
        <v>216732.21818181817</v>
      </c>
      <c r="W37" s="168">
        <f t="shared" si="32"/>
        <v>3473.272727272727</v>
      </c>
      <c r="X37" s="168">
        <f t="shared" si="32"/>
        <v>13893.090909090908</v>
      </c>
      <c r="Y37" s="194">
        <f>SUM(Y8:Y36)</f>
        <v>1563504.288406417</v>
      </c>
      <c r="AE37" s="140">
        <f>SUM(AE8:AE31)</f>
        <v>4244634.3499999996</v>
      </c>
      <c r="AF37" s="140"/>
      <c r="AG37" s="168">
        <f t="shared" ref="AG37:AH37" si="33">SUM(AG8:AG31)</f>
        <v>5056.8500000000004</v>
      </c>
      <c r="AH37" s="168">
        <f t="shared" si="33"/>
        <v>21166.800000000003</v>
      </c>
      <c r="AI37" s="141">
        <f>SUM(AI8:AI36)</f>
        <v>212231.71750000003</v>
      </c>
      <c r="AJ37" s="141">
        <f t="shared" ref="AJ37:AK37" si="34">SUM(AJ8:AJ36)</f>
        <v>56383.877500000002</v>
      </c>
      <c r="AK37" s="141">
        <f t="shared" si="34"/>
        <v>155847.84</v>
      </c>
      <c r="AL37" s="141">
        <f>SUM(AL8:AL36)</f>
        <v>1775736.005906417</v>
      </c>
      <c r="AM37" s="172">
        <f>SUM(AM8:AM36)</f>
        <v>1531227.005906417</v>
      </c>
      <c r="AN37" s="140"/>
    </row>
    <row r="38" spans="1:40" x14ac:dyDescent="0.25">
      <c r="G38" s="137"/>
      <c r="H38" s="137"/>
      <c r="I38" s="137"/>
      <c r="AE38" s="140"/>
      <c r="AF38" s="140"/>
      <c r="AG38" s="140"/>
      <c r="AH38" s="140"/>
      <c r="AI38" s="141"/>
      <c r="AJ38" s="141"/>
      <c r="AK38" s="141"/>
      <c r="AL38" s="141"/>
      <c r="AM38" s="180"/>
      <c r="AN38" s="140"/>
    </row>
    <row r="39" spans="1:40" x14ac:dyDescent="0.25">
      <c r="G39" s="137"/>
      <c r="H39" s="137"/>
      <c r="I39" s="137"/>
      <c r="AE39" s="140"/>
      <c r="AF39" s="140"/>
      <c r="AG39" s="140"/>
      <c r="AH39" s="140"/>
      <c r="AI39" s="141"/>
      <c r="AJ39" s="141"/>
      <c r="AK39" s="141"/>
      <c r="AL39" s="141"/>
      <c r="AM39" s="180"/>
      <c r="AN39" s="140"/>
    </row>
    <row r="40" spans="1:40" x14ac:dyDescent="0.25">
      <c r="D40" s="181" t="s">
        <v>416</v>
      </c>
      <c r="E40" s="181"/>
      <c r="F40" s="181">
        <f>SUM(F8:F39)</f>
        <v>119</v>
      </c>
      <c r="G40" s="182"/>
      <c r="H40" s="137"/>
      <c r="I40" s="137"/>
      <c r="M40" s="183" t="s">
        <v>417</v>
      </c>
      <c r="N40" s="183"/>
      <c r="O40" s="184">
        <f>N37+O37+S37</f>
        <v>715769.11931550805</v>
      </c>
      <c r="AC40" s="185" t="s">
        <v>418</v>
      </c>
      <c r="AD40" s="185"/>
      <c r="AE40" s="186">
        <f>AE37</f>
        <v>4244634.3499999996</v>
      </c>
      <c r="AF40" s="186"/>
      <c r="AG40" s="186"/>
      <c r="AH40" s="186"/>
      <c r="AI40" s="186">
        <f>SUM(AI8:AI36)</f>
        <v>212231.71750000003</v>
      </c>
      <c r="AJ40" s="186"/>
      <c r="AK40" s="186"/>
      <c r="AL40" s="141"/>
      <c r="AM40" s="180"/>
      <c r="AN40" s="140"/>
    </row>
    <row r="41" spans="1:40" x14ac:dyDescent="0.25">
      <c r="D41" s="181" t="s">
        <v>419</v>
      </c>
      <c r="E41" s="181"/>
      <c r="F41" s="181"/>
      <c r="G41" s="187">
        <f>SUM(G8:G36)</f>
        <v>213450</v>
      </c>
      <c r="H41" s="137"/>
      <c r="I41" s="137"/>
      <c r="M41" s="183" t="s">
        <v>420</v>
      </c>
      <c r="N41" s="183"/>
      <c r="O41" s="188">
        <f>O40/F40</f>
        <v>6014.8665488698152</v>
      </c>
      <c r="Y41" s="168"/>
      <c r="AC41" s="185" t="s">
        <v>421</v>
      </c>
      <c r="AD41" s="185"/>
      <c r="AE41" s="189">
        <f>AE40/F40</f>
        <v>35669.196218487392</v>
      </c>
      <c r="AF41" s="186"/>
      <c r="AG41" s="186"/>
      <c r="AH41" s="186"/>
      <c r="AI41" s="189">
        <f>AI40/F40</f>
        <v>1783.45981092437</v>
      </c>
      <c r="AJ41" s="189"/>
      <c r="AK41" s="189"/>
      <c r="AL41" s="141"/>
      <c r="AM41" s="180"/>
      <c r="AN41" s="140"/>
    </row>
    <row r="42" spans="1:40" x14ac:dyDescent="0.25">
      <c r="D42" s="181" t="s">
        <v>422</v>
      </c>
      <c r="E42" s="181"/>
      <c r="F42" s="181"/>
      <c r="G42" s="190">
        <f>G41/F40</f>
        <v>1793.6974789915967</v>
      </c>
      <c r="H42" s="137"/>
      <c r="I42" s="137"/>
      <c r="AE42" s="140"/>
      <c r="AF42" s="140"/>
      <c r="AG42" s="140"/>
      <c r="AH42" s="140"/>
      <c r="AI42" s="141"/>
      <c r="AJ42" s="141"/>
      <c r="AK42" s="141"/>
      <c r="AL42" s="141"/>
      <c r="AM42" s="180"/>
      <c r="AN42" s="140"/>
    </row>
    <row r="43" spans="1:40" x14ac:dyDescent="0.25">
      <c r="G43" s="137"/>
      <c r="H43" s="137"/>
      <c r="I43" s="137"/>
      <c r="M43" s="183" t="s">
        <v>423</v>
      </c>
      <c r="N43" s="183"/>
      <c r="O43" s="183"/>
      <c r="P43" s="183"/>
      <c r="Q43" s="184">
        <f>P37+Q37+T37</f>
        <v>847735.16909090907</v>
      </c>
      <c r="R43" s="191"/>
      <c r="S43" s="192"/>
      <c r="T43" s="192"/>
      <c r="U43" s="192"/>
      <c r="V43" s="192"/>
      <c r="W43" s="192"/>
      <c r="X43" s="192"/>
      <c r="AE43" s="140"/>
      <c r="AF43" s="140"/>
      <c r="AG43" s="140"/>
      <c r="AH43" s="140"/>
      <c r="AI43" s="141"/>
      <c r="AJ43" s="141"/>
      <c r="AK43" s="141"/>
      <c r="AL43" s="141"/>
      <c r="AM43" s="180"/>
      <c r="AN43" s="140"/>
    </row>
    <row r="44" spans="1:40" x14ac:dyDescent="0.25">
      <c r="G44" s="137"/>
      <c r="H44" s="137"/>
      <c r="I44" s="137"/>
      <c r="M44" s="183" t="s">
        <v>421</v>
      </c>
      <c r="N44" s="183"/>
      <c r="O44" s="183"/>
      <c r="P44" s="183"/>
      <c r="Q44" s="188">
        <f>Q43/F40</f>
        <v>7123.8249503437737</v>
      </c>
      <c r="R44" s="193"/>
      <c r="S44" s="192"/>
      <c r="T44" s="192"/>
      <c r="U44" s="192"/>
      <c r="V44" s="192"/>
      <c r="W44" s="192"/>
      <c r="X44" s="192"/>
      <c r="AC44" s="185" t="s">
        <v>433</v>
      </c>
      <c r="AD44" s="185"/>
      <c r="AE44" s="198">
        <f>SUM(AG8:AG19)</f>
        <v>5056.8500000000004</v>
      </c>
      <c r="AF44" s="140"/>
      <c r="AG44" s="140"/>
      <c r="AH44" s="140"/>
      <c r="AI44" s="141"/>
      <c r="AJ44" s="141"/>
      <c r="AK44" s="141"/>
      <c r="AL44" s="141"/>
      <c r="AM44" s="180"/>
      <c r="AN44" s="140"/>
    </row>
    <row r="45" spans="1:40" x14ac:dyDescent="0.25">
      <c r="G45" s="137"/>
      <c r="H45" s="137"/>
      <c r="I45" s="137"/>
      <c r="AC45" s="185" t="s">
        <v>434</v>
      </c>
      <c r="AD45" s="185"/>
      <c r="AE45" s="198">
        <f>SUM(AH8:AH19)</f>
        <v>21166.800000000003</v>
      </c>
      <c r="AF45" s="140"/>
      <c r="AG45" s="140"/>
      <c r="AH45" s="140"/>
      <c r="AI45" s="141"/>
      <c r="AJ45" s="141"/>
      <c r="AK45" s="141"/>
      <c r="AL45" s="141"/>
      <c r="AM45" s="180"/>
      <c r="AN45" s="140"/>
    </row>
    <row r="46" spans="1:40" x14ac:dyDescent="0.25">
      <c r="G46" s="137"/>
      <c r="H46" s="137"/>
      <c r="I46" s="137"/>
      <c r="AE46" s="140"/>
      <c r="AF46" s="140"/>
      <c r="AG46" s="140"/>
      <c r="AH46" s="140"/>
      <c r="AI46" s="141"/>
      <c r="AJ46" s="141"/>
      <c r="AK46" s="141"/>
      <c r="AL46" s="141"/>
      <c r="AM46" s="180"/>
      <c r="AN46" s="140"/>
    </row>
    <row r="47" spans="1:40" x14ac:dyDescent="0.25">
      <c r="A47" s="129"/>
      <c r="B47" s="129"/>
      <c r="C47" s="129"/>
      <c r="D47" s="129"/>
      <c r="E47" s="129"/>
      <c r="M47" s="183" t="s">
        <v>428</v>
      </c>
      <c r="N47" s="183"/>
      <c r="O47" s="183"/>
      <c r="P47" s="199">
        <f>SUM(W8:W19)</f>
        <v>3473.272727272727</v>
      </c>
      <c r="AC47" s="185" t="s">
        <v>439</v>
      </c>
      <c r="AD47" s="185"/>
      <c r="AE47" s="186">
        <f>SUM(AJ8:AJ19)</f>
        <v>56383.877500000002</v>
      </c>
    </row>
    <row r="48" spans="1:40" x14ac:dyDescent="0.25">
      <c r="A48" s="129"/>
      <c r="B48" s="129"/>
      <c r="C48" s="129"/>
      <c r="D48" s="129" t="s">
        <v>449</v>
      </c>
      <c r="E48" s="129"/>
      <c r="M48" s="183" t="s">
        <v>426</v>
      </c>
      <c r="N48" s="183"/>
      <c r="O48" s="183"/>
      <c r="P48" s="199">
        <f>SUM(X8:X19)</f>
        <v>13893.090909090908</v>
      </c>
      <c r="AC48" s="185" t="s">
        <v>440</v>
      </c>
      <c r="AD48" s="185"/>
      <c r="AE48" s="186">
        <f>SUM(AK8:AK19)</f>
        <v>155847.84</v>
      </c>
    </row>
    <row r="49" spans="1:18" x14ac:dyDescent="0.25">
      <c r="A49" s="129"/>
      <c r="B49" s="216" t="s">
        <v>456</v>
      </c>
      <c r="C49">
        <f>D32*0.5</f>
        <v>11900</v>
      </c>
      <c r="D49" s="168">
        <f>C49/1000000</f>
        <v>1.1900000000000001E-2</v>
      </c>
      <c r="E49" s="129" t="s">
        <v>458</v>
      </c>
    </row>
    <row r="50" spans="1:18" x14ac:dyDescent="0.25">
      <c r="A50" s="129"/>
      <c r="B50" s="129" t="s">
        <v>448</v>
      </c>
      <c r="C50" s="212">
        <f>I37+C49</f>
        <v>256409</v>
      </c>
      <c r="D50" s="213">
        <f>C50/1000000</f>
        <v>0.256409</v>
      </c>
      <c r="E50" s="129"/>
      <c r="M50" s="183" t="s">
        <v>427</v>
      </c>
      <c r="N50" s="183"/>
      <c r="O50" s="183"/>
      <c r="P50" s="195">
        <f>SUM(N8:O19)+SUM(S8:S19)</f>
        <v>715769.11931550805</v>
      </c>
    </row>
    <row r="51" spans="1:18" x14ac:dyDescent="0.25">
      <c r="A51" s="129"/>
      <c r="B51" s="129" t="s">
        <v>455</v>
      </c>
      <c r="C51" s="129">
        <f>D34</f>
        <v>63692.132000000005</v>
      </c>
      <c r="D51" s="211">
        <f>D35</f>
        <v>63.692132000000008</v>
      </c>
      <c r="E51" s="129"/>
      <c r="M51" s="183" t="s">
        <v>429</v>
      </c>
      <c r="N51" s="183"/>
      <c r="O51" s="183"/>
      <c r="P51" s="138">
        <f>SUM(P8:P19)+SUM(U8:U19)+SUM(AJ8:AJ19)</f>
        <v>249409.02840909091</v>
      </c>
      <c r="R51" s="194"/>
    </row>
    <row r="52" spans="1:18" x14ac:dyDescent="0.25">
      <c r="A52" s="129"/>
      <c r="B52" s="129"/>
      <c r="C52" s="129"/>
      <c r="D52" s="129"/>
      <c r="E52" s="129"/>
      <c r="M52" s="183" t="s">
        <v>432</v>
      </c>
      <c r="N52" s="183"/>
      <c r="O52" s="183"/>
      <c r="P52" s="138">
        <f>SUM(Q8:Q19)+SUM(V8:V19)+SUM(AK8:AK19)</f>
        <v>810557.85818181816</v>
      </c>
    </row>
    <row r="53" spans="1:18" x14ac:dyDescent="0.25">
      <c r="A53" s="129"/>
      <c r="B53" s="129"/>
      <c r="C53" s="129"/>
      <c r="D53" s="129"/>
      <c r="E53" s="129"/>
      <c r="P53" s="196">
        <f>SUM(P50:P52)</f>
        <v>1775736.005906417</v>
      </c>
    </row>
    <row r="54" spans="1:18" x14ac:dyDescent="0.25">
      <c r="A54" s="129"/>
      <c r="B54" s="129"/>
      <c r="C54" s="129"/>
      <c r="D54" s="129"/>
      <c r="E54" s="129"/>
    </row>
    <row r="55" spans="1:18" x14ac:dyDescent="0.25">
      <c r="A55" s="129"/>
      <c r="B55" s="129"/>
      <c r="C55" s="129"/>
      <c r="D55" s="129"/>
      <c r="E55" s="129"/>
    </row>
    <row r="58" spans="1:18" x14ac:dyDescent="0.25">
      <c r="D58" s="201"/>
      <c r="E58" s="201"/>
    </row>
    <row r="59" spans="1:18" ht="15.75" x14ac:dyDescent="0.3">
      <c r="B59" s="9"/>
      <c r="D59" s="201"/>
      <c r="E59" s="201"/>
    </row>
    <row r="60" spans="1:18" ht="15.75" x14ac:dyDescent="0.3">
      <c r="B60" s="9"/>
      <c r="D60" s="201"/>
      <c r="E60" s="201"/>
    </row>
    <row r="61" spans="1:18" ht="15.75" x14ac:dyDescent="0.3">
      <c r="B61" s="4"/>
      <c r="D61" s="168"/>
      <c r="E61" s="168"/>
    </row>
    <row r="62" spans="1:18" ht="15.75" x14ac:dyDescent="0.3">
      <c r="B62" s="4"/>
      <c r="D62" s="168"/>
      <c r="E62" s="168"/>
    </row>
    <row r="63" spans="1:18" ht="15.75" x14ac:dyDescent="0.3">
      <c r="B63" s="4"/>
      <c r="D63" s="167"/>
      <c r="E63" s="167"/>
    </row>
  </sheetData>
  <mergeCells count="3">
    <mergeCell ref="A6:I6"/>
    <mergeCell ref="J6:Y6"/>
    <mergeCell ref="Z6:AI6"/>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84"/>
  <sheetViews>
    <sheetView topLeftCell="A22" zoomScale="55" zoomScaleNormal="55" workbookViewId="0">
      <selection activeCell="D80" sqref="D80"/>
    </sheetView>
  </sheetViews>
  <sheetFormatPr defaultRowHeight="15" x14ac:dyDescent="0.25"/>
  <cols>
    <col min="2" max="2" width="10.85546875" bestFit="1" customWidth="1"/>
    <col min="3" max="3" width="26" bestFit="1" customWidth="1"/>
    <col min="4" max="4" width="18.85546875" bestFit="1" customWidth="1"/>
    <col min="5" max="5" width="24.140625" bestFit="1" customWidth="1"/>
    <col min="6" max="6" width="16.28515625" bestFit="1" customWidth="1"/>
    <col min="7" max="7" width="16.28515625" style="220" customWidth="1"/>
    <col min="8" max="8" width="18.140625" bestFit="1" customWidth="1"/>
    <col min="9" max="9" width="18.140625" customWidth="1"/>
    <col min="10" max="10" width="19.85546875" bestFit="1" customWidth="1"/>
    <col min="11" max="11" width="17.85546875" customWidth="1"/>
    <col min="12" max="12" width="12.28515625" bestFit="1" customWidth="1"/>
    <col min="13" max="13" width="12.28515625" customWidth="1"/>
    <col min="14" max="14" width="17.42578125" bestFit="1" customWidth="1"/>
    <col min="15" max="15" width="17.140625" bestFit="1" customWidth="1"/>
    <col min="16" max="16" width="14.85546875" bestFit="1" customWidth="1"/>
    <col min="17" max="17" width="15" bestFit="1" customWidth="1"/>
    <col min="18" max="18" width="17" customWidth="1"/>
    <col min="19" max="19" width="22.28515625" bestFit="1" customWidth="1"/>
    <col min="20" max="20" width="14.140625" customWidth="1"/>
    <col min="21" max="26" width="13.140625" customWidth="1"/>
    <col min="27" max="27" width="23.85546875" bestFit="1" customWidth="1"/>
    <col min="28" max="29" width="14.28515625" customWidth="1"/>
    <col min="30" max="30" width="13.7109375" customWidth="1"/>
    <col min="31" max="31" width="19.140625" bestFit="1" customWidth="1"/>
    <col min="32" max="32" width="14.28515625" bestFit="1" customWidth="1"/>
    <col min="33" max="33" width="19.42578125" bestFit="1" customWidth="1"/>
    <col min="34" max="34" width="12.7109375" bestFit="1" customWidth="1"/>
    <col min="35" max="36" width="11.5703125" customWidth="1"/>
    <col min="37" max="37" width="18.42578125" bestFit="1" customWidth="1"/>
    <col min="38" max="39" width="18.42578125" customWidth="1"/>
    <col min="40" max="40" width="25.42578125" bestFit="1" customWidth="1"/>
    <col min="41" max="41" width="20.5703125" bestFit="1" customWidth="1"/>
    <col min="42" max="42" width="18.28515625" bestFit="1" customWidth="1"/>
    <col min="43" max="43" width="17.28515625" bestFit="1" customWidth="1"/>
  </cols>
  <sheetData>
    <row r="1" spans="1:43" ht="18.75" x14ac:dyDescent="0.3">
      <c r="B1" s="1" t="s">
        <v>299</v>
      </c>
      <c r="J1" s="137"/>
      <c r="K1" s="137"/>
      <c r="S1" s="138" t="s">
        <v>345</v>
      </c>
      <c r="T1" s="139">
        <v>55</v>
      </c>
      <c r="AG1" s="140"/>
      <c r="AH1" s="140"/>
      <c r="AI1" s="140"/>
      <c r="AJ1" s="140"/>
      <c r="AK1" s="141"/>
      <c r="AL1" s="141"/>
      <c r="AM1" s="141"/>
      <c r="AN1" s="141"/>
      <c r="AO1" s="142"/>
      <c r="AP1" s="140"/>
    </row>
    <row r="2" spans="1:43" x14ac:dyDescent="0.25">
      <c r="B2" t="s">
        <v>76</v>
      </c>
      <c r="J2" s="137"/>
      <c r="K2" s="137"/>
      <c r="N2" s="143" t="s">
        <v>346</v>
      </c>
      <c r="O2" s="143"/>
      <c r="P2" s="143"/>
      <c r="S2" t="s">
        <v>347</v>
      </c>
      <c r="T2">
        <v>4</v>
      </c>
      <c r="AC2" s="144" t="s">
        <v>348</v>
      </c>
      <c r="AD2" s="144"/>
      <c r="AE2" s="144"/>
      <c r="AG2" s="140"/>
      <c r="AH2" s="140"/>
      <c r="AI2" s="140"/>
      <c r="AJ2" s="140"/>
      <c r="AK2" s="141"/>
      <c r="AL2" s="141"/>
      <c r="AM2" s="141"/>
      <c r="AN2" s="141"/>
      <c r="AO2" s="142"/>
      <c r="AP2" s="140"/>
    </row>
    <row r="3" spans="1:43" x14ac:dyDescent="0.25">
      <c r="C3" s="145" t="s">
        <v>349</v>
      </c>
      <c r="J3" s="137"/>
      <c r="K3" s="137"/>
      <c r="N3" s="143" t="s">
        <v>350</v>
      </c>
      <c r="O3" s="143"/>
      <c r="P3" s="146">
        <v>5.58</v>
      </c>
      <c r="S3" t="s">
        <v>351</v>
      </c>
      <c r="T3" s="147">
        <v>500</v>
      </c>
      <c r="AC3" s="144" t="s">
        <v>350</v>
      </c>
      <c r="AD3" s="144"/>
      <c r="AE3" s="148">
        <v>11.15</v>
      </c>
      <c r="AG3" s="140"/>
      <c r="AH3" s="140"/>
      <c r="AI3" s="140"/>
      <c r="AJ3" s="140"/>
      <c r="AK3" s="141"/>
      <c r="AL3" s="141"/>
      <c r="AM3" s="141"/>
      <c r="AN3" s="141"/>
      <c r="AO3" s="142"/>
      <c r="AP3" s="140"/>
    </row>
    <row r="4" spans="1:43" x14ac:dyDescent="0.25">
      <c r="J4" s="137"/>
      <c r="K4" s="137"/>
      <c r="N4" s="143" t="s">
        <v>352</v>
      </c>
      <c r="O4" s="143"/>
      <c r="P4" s="146">
        <v>7.8</v>
      </c>
      <c r="AC4" s="144" t="s">
        <v>352</v>
      </c>
      <c r="AD4" s="144"/>
      <c r="AE4" s="148">
        <v>15.6</v>
      </c>
      <c r="AG4" s="140"/>
      <c r="AH4" s="140"/>
      <c r="AI4" s="140"/>
      <c r="AJ4" s="140"/>
      <c r="AK4" s="141"/>
      <c r="AL4" s="141"/>
      <c r="AM4" s="141"/>
      <c r="AN4" s="141"/>
      <c r="AO4" s="142"/>
      <c r="AP4" s="140"/>
    </row>
    <row r="5" spans="1:43" x14ac:dyDescent="0.25">
      <c r="F5" t="s">
        <v>461</v>
      </c>
      <c r="J5" s="137">
        <v>24000</v>
      </c>
      <c r="K5" s="137"/>
      <c r="N5" s="149"/>
      <c r="O5" s="149"/>
      <c r="P5" s="150"/>
      <c r="AC5" s="149"/>
      <c r="AD5" s="149"/>
      <c r="AE5" s="150"/>
      <c r="AG5" s="140"/>
      <c r="AH5" s="140"/>
      <c r="AI5" s="140"/>
      <c r="AJ5" s="140"/>
      <c r="AK5" s="141"/>
      <c r="AL5" s="141"/>
      <c r="AM5" s="141"/>
      <c r="AN5" s="141"/>
      <c r="AO5" s="142"/>
      <c r="AP5" s="140"/>
    </row>
    <row r="6" spans="1:43" x14ac:dyDescent="0.25">
      <c r="F6" t="s">
        <v>462</v>
      </c>
      <c r="J6" s="137">
        <v>261</v>
      </c>
      <c r="K6" s="137"/>
      <c r="N6" s="149"/>
      <c r="O6" s="149"/>
      <c r="P6" s="150"/>
      <c r="AC6" s="149" t="s">
        <v>383</v>
      </c>
      <c r="AD6" s="149"/>
      <c r="AE6" s="221">
        <v>0.05</v>
      </c>
      <c r="AG6" s="140"/>
      <c r="AH6" s="140"/>
      <c r="AI6" s="140"/>
      <c r="AJ6" s="140"/>
      <c r="AK6" s="141"/>
      <c r="AL6" s="141"/>
      <c r="AM6" s="141"/>
      <c r="AN6" s="141"/>
      <c r="AO6" s="142"/>
      <c r="AP6" s="140"/>
    </row>
    <row r="7" spans="1:43" x14ac:dyDescent="0.25">
      <c r="J7" s="137"/>
      <c r="K7" s="137"/>
      <c r="N7" s="149"/>
      <c r="O7" s="149"/>
      <c r="P7" s="150"/>
      <c r="AC7" s="149"/>
      <c r="AD7" s="149"/>
      <c r="AE7" s="150" t="s">
        <v>463</v>
      </c>
      <c r="AG7" s="140"/>
      <c r="AH7" s="140"/>
      <c r="AI7" s="140"/>
      <c r="AJ7" s="140"/>
      <c r="AK7" s="141"/>
      <c r="AL7" s="141"/>
      <c r="AM7" s="141"/>
      <c r="AN7" s="141"/>
      <c r="AO7" s="142"/>
      <c r="AP7" s="140"/>
    </row>
    <row r="8" spans="1:43" x14ac:dyDescent="0.25">
      <c r="F8" t="s">
        <v>464</v>
      </c>
      <c r="J8" s="222">
        <v>230</v>
      </c>
      <c r="K8" s="137"/>
      <c r="N8" s="149"/>
      <c r="O8" s="149"/>
      <c r="P8" s="150"/>
      <c r="AC8" s="149"/>
      <c r="AD8" s="149"/>
      <c r="AE8" s="150"/>
      <c r="AG8" s="140"/>
      <c r="AH8" s="140"/>
      <c r="AI8" s="140"/>
      <c r="AJ8" s="140"/>
      <c r="AK8" s="141"/>
      <c r="AL8" s="141"/>
      <c r="AM8" s="141"/>
      <c r="AN8" s="141"/>
      <c r="AO8" s="142"/>
      <c r="AP8" s="140"/>
    </row>
    <row r="9" spans="1:43" x14ac:dyDescent="0.25">
      <c r="F9" t="s">
        <v>465</v>
      </c>
      <c r="J9" s="222">
        <v>20</v>
      </c>
      <c r="K9" s="137"/>
      <c r="N9" s="149"/>
      <c r="O9" s="149"/>
      <c r="P9" s="150"/>
      <c r="AC9" s="149"/>
      <c r="AD9" s="149"/>
      <c r="AE9" s="150"/>
      <c r="AG9" s="140"/>
      <c r="AH9" s="140"/>
      <c r="AI9" s="140"/>
      <c r="AJ9" s="140"/>
      <c r="AK9" s="141"/>
      <c r="AL9" s="141"/>
      <c r="AM9" s="141"/>
      <c r="AN9" s="141"/>
      <c r="AO9" s="142"/>
      <c r="AP9" s="140"/>
    </row>
    <row r="10" spans="1:43" x14ac:dyDescent="0.25">
      <c r="F10" t="s">
        <v>466</v>
      </c>
      <c r="J10" s="222">
        <v>11</v>
      </c>
      <c r="K10" s="137"/>
      <c r="N10" s="149"/>
      <c r="O10" s="149"/>
      <c r="P10" s="150"/>
      <c r="AC10" s="149"/>
      <c r="AD10" s="149"/>
      <c r="AE10" s="150"/>
      <c r="AG10" s="140"/>
      <c r="AH10" s="140"/>
      <c r="AI10" s="140"/>
      <c r="AJ10" s="140"/>
      <c r="AK10" s="141"/>
      <c r="AL10" s="141"/>
      <c r="AM10" s="141"/>
      <c r="AN10" s="141"/>
      <c r="AO10" s="142"/>
      <c r="AP10" s="140"/>
    </row>
    <row r="11" spans="1:43" x14ac:dyDescent="0.25">
      <c r="J11" s="137"/>
      <c r="K11" s="137"/>
      <c r="N11" s="149"/>
      <c r="O11" s="149"/>
      <c r="P11" s="150"/>
      <c r="AC11" s="149"/>
      <c r="AD11" s="149"/>
      <c r="AE11" s="150"/>
      <c r="AG11" s="140"/>
      <c r="AH11" s="140"/>
      <c r="AI11" s="140"/>
      <c r="AJ11" s="140"/>
      <c r="AK11" s="141"/>
      <c r="AL11" s="141"/>
      <c r="AM11" s="141"/>
      <c r="AN11" s="141"/>
      <c r="AO11" s="142"/>
      <c r="AP11" s="140"/>
    </row>
    <row r="12" spans="1:43" x14ac:dyDescent="0.25">
      <c r="B12" s="507" t="s">
        <v>353</v>
      </c>
      <c r="C12" s="508"/>
      <c r="D12" s="508"/>
      <c r="E12" s="508"/>
      <c r="F12" s="508"/>
      <c r="G12" s="508"/>
      <c r="H12" s="508"/>
      <c r="I12" s="508"/>
      <c r="J12" s="508"/>
      <c r="K12" s="508"/>
      <c r="L12" s="510" t="s">
        <v>354</v>
      </c>
      <c r="M12" s="511"/>
      <c r="N12" s="511"/>
      <c r="O12" s="511"/>
      <c r="P12" s="511"/>
      <c r="Q12" s="511"/>
      <c r="R12" s="511"/>
      <c r="S12" s="511"/>
      <c r="T12" s="511"/>
      <c r="U12" s="511"/>
      <c r="V12" s="511"/>
      <c r="W12" s="511"/>
      <c r="X12" s="511"/>
      <c r="Y12" s="511"/>
      <c r="Z12" s="511"/>
      <c r="AA12" s="512"/>
      <c r="AB12" s="513" t="s">
        <v>355</v>
      </c>
      <c r="AC12" s="513"/>
      <c r="AD12" s="513"/>
      <c r="AE12" s="513"/>
      <c r="AF12" s="513"/>
      <c r="AG12" s="513"/>
      <c r="AH12" s="513"/>
      <c r="AI12" s="513"/>
      <c r="AJ12" s="513"/>
      <c r="AK12" s="513"/>
      <c r="AL12" s="219"/>
      <c r="AM12" s="219"/>
      <c r="AN12" s="223"/>
      <c r="AO12" s="153"/>
      <c r="AP12" s="224"/>
      <c r="AQ12" s="225"/>
    </row>
    <row r="13" spans="1:43" s="164" customFormat="1" ht="90" x14ac:dyDescent="0.25">
      <c r="A13" s="164" t="s">
        <v>467</v>
      </c>
      <c r="B13" s="155" t="s">
        <v>356</v>
      </c>
      <c r="C13" s="155" t="s">
        <v>357</v>
      </c>
      <c r="D13" s="155" t="s">
        <v>358</v>
      </c>
      <c r="E13" s="155" t="s">
        <v>359</v>
      </c>
      <c r="F13" s="155" t="s">
        <v>360</v>
      </c>
      <c r="G13" s="226" t="s">
        <v>468</v>
      </c>
      <c r="H13" s="155" t="s">
        <v>469</v>
      </c>
      <c r="I13" s="155" t="s">
        <v>470</v>
      </c>
      <c r="J13" s="156" t="s">
        <v>471</v>
      </c>
      <c r="K13" s="156" t="s">
        <v>472</v>
      </c>
      <c r="L13" s="157" t="s">
        <v>365</v>
      </c>
      <c r="M13" s="157" t="s">
        <v>366</v>
      </c>
      <c r="N13" s="157" t="s">
        <v>367</v>
      </c>
      <c r="O13" s="157" t="s">
        <v>368</v>
      </c>
      <c r="P13" s="157" t="s">
        <v>369</v>
      </c>
      <c r="Q13" s="157" t="s">
        <v>370</v>
      </c>
      <c r="R13" s="158" t="s">
        <v>371</v>
      </c>
      <c r="S13" s="158" t="s">
        <v>372</v>
      </c>
      <c r="T13" s="158" t="s">
        <v>373</v>
      </c>
      <c r="U13" s="158" t="s">
        <v>374</v>
      </c>
      <c r="V13" s="158" t="s">
        <v>442</v>
      </c>
      <c r="W13" s="158" t="s">
        <v>443</v>
      </c>
      <c r="X13" s="158" t="s">
        <v>430</v>
      </c>
      <c r="Y13" s="158" t="s">
        <v>431</v>
      </c>
      <c r="Z13" s="158" t="s">
        <v>375</v>
      </c>
      <c r="AA13" s="157" t="s">
        <v>376</v>
      </c>
      <c r="AB13" s="159" t="s">
        <v>377</v>
      </c>
      <c r="AC13" s="159" t="s">
        <v>378</v>
      </c>
      <c r="AD13" s="159" t="s">
        <v>379</v>
      </c>
      <c r="AE13" s="159" t="s">
        <v>380</v>
      </c>
      <c r="AF13" s="159" t="s">
        <v>381</v>
      </c>
      <c r="AG13" s="160" t="s">
        <v>382</v>
      </c>
      <c r="AH13" s="160" t="s">
        <v>383</v>
      </c>
      <c r="AI13" s="160" t="s">
        <v>435</v>
      </c>
      <c r="AJ13" s="160" t="s">
        <v>436</v>
      </c>
      <c r="AK13" s="160" t="s">
        <v>384</v>
      </c>
      <c r="AL13" s="160" t="s">
        <v>437</v>
      </c>
      <c r="AM13" s="160" t="s">
        <v>438</v>
      </c>
      <c r="AN13" s="227" t="s">
        <v>385</v>
      </c>
      <c r="AO13" s="162" t="s">
        <v>386</v>
      </c>
      <c r="AP13" s="228" t="s">
        <v>473</v>
      </c>
      <c r="AQ13" s="229" t="s">
        <v>474</v>
      </c>
    </row>
    <row r="14" spans="1:43" x14ac:dyDescent="0.25">
      <c r="A14" s="230">
        <v>42461</v>
      </c>
      <c r="B14" s="231" t="s">
        <v>387</v>
      </c>
      <c r="C14" s="231" t="s">
        <v>475</v>
      </c>
      <c r="D14" s="231" t="s">
        <v>476</v>
      </c>
      <c r="E14" s="231" t="s">
        <v>477</v>
      </c>
      <c r="F14" s="232">
        <v>42482</v>
      </c>
      <c r="G14" s="233">
        <v>18</v>
      </c>
      <c r="H14" s="231"/>
      <c r="I14" s="231"/>
      <c r="J14" s="234">
        <v>24000</v>
      </c>
      <c r="K14" s="234">
        <v>279.5</v>
      </c>
      <c r="L14" s="231">
        <v>24</v>
      </c>
      <c r="M14" s="231">
        <v>18</v>
      </c>
      <c r="N14" s="231">
        <v>48</v>
      </c>
      <c r="O14" s="231">
        <v>192</v>
      </c>
      <c r="P14" s="235">
        <f>[1]Ardmarnock!G26</f>
        <v>43582</v>
      </c>
      <c r="Q14" s="235">
        <f>[1]Ardmarnock!G32</f>
        <v>3244</v>
      </c>
      <c r="R14" s="236">
        <f>N14*$P$3</f>
        <v>267.84000000000003</v>
      </c>
      <c r="S14" s="236">
        <f>O14*$P$4</f>
        <v>1497.6</v>
      </c>
      <c r="T14" s="237">
        <f>M14/$T$1</f>
        <v>0.32727272727272727</v>
      </c>
      <c r="U14" s="238">
        <f>IF(L14=0,0,T14*$T$3)</f>
        <v>163.63636363636363</v>
      </c>
      <c r="V14" s="236">
        <f>L14*T14</f>
        <v>7.8545454545454545</v>
      </c>
      <c r="W14" s="236">
        <f>T14*(L14*$T$2)</f>
        <v>31.418181818181818</v>
      </c>
      <c r="X14" s="236">
        <f>T14*(L14*$AE$3)</f>
        <v>87.578181818181818</v>
      </c>
      <c r="Y14" s="236">
        <f>T14*(L14*$T$2)*$AE$4</f>
        <v>490.12363636363636</v>
      </c>
      <c r="Z14" s="236">
        <f>X14+Y14</f>
        <v>577.70181818181823</v>
      </c>
      <c r="AA14" s="234">
        <f>P14+Q14+R14+S14+U14+Z14</f>
        <v>49332.778181818176</v>
      </c>
      <c r="AB14" s="231">
        <v>500</v>
      </c>
      <c r="AC14" s="231">
        <v>4</v>
      </c>
      <c r="AD14" s="231">
        <f>AB14*AC14</f>
        <v>2000</v>
      </c>
      <c r="AE14" s="236">
        <f>AB14*$AE$3</f>
        <v>5575</v>
      </c>
      <c r="AF14" s="236">
        <f>AD14*$AE$4</f>
        <v>31200</v>
      </c>
      <c r="AG14" s="239">
        <f>(AE14+AF14)</f>
        <v>36775</v>
      </c>
      <c r="AH14" s="240">
        <f>$AE$6</f>
        <v>0.05</v>
      </c>
      <c r="AI14" s="241">
        <f>AB14*AH14</f>
        <v>25</v>
      </c>
      <c r="AJ14" s="241">
        <f>AD14*AH14</f>
        <v>100</v>
      </c>
      <c r="AK14" s="239">
        <f>AG14*AH14</f>
        <v>1838.75</v>
      </c>
      <c r="AL14" s="239">
        <f>AE14*AH14</f>
        <v>278.75</v>
      </c>
      <c r="AM14" s="239">
        <f>AF14*AH14</f>
        <v>1560</v>
      </c>
      <c r="AN14" s="242">
        <f>AA14+AG14</f>
        <v>86107.778181818168</v>
      </c>
      <c r="AO14" s="172">
        <f>AN14-($J$63*G14)</f>
        <v>49832.956753246741</v>
      </c>
      <c r="AP14" s="243">
        <f>AA14+AK14</f>
        <v>51171.528181818176</v>
      </c>
      <c r="AQ14" s="243">
        <f>AP14-($J$63*G14)</f>
        <v>14896.706753246748</v>
      </c>
    </row>
    <row r="15" spans="1:43" x14ac:dyDescent="0.25">
      <c r="A15" s="230"/>
      <c r="B15" s="231"/>
      <c r="C15" s="231"/>
      <c r="D15" s="231"/>
      <c r="E15" s="231"/>
      <c r="F15" s="232" t="s">
        <v>478</v>
      </c>
      <c r="G15" s="233">
        <v>0</v>
      </c>
      <c r="H15" s="231"/>
      <c r="I15" s="237"/>
      <c r="J15" s="234"/>
      <c r="K15" s="234"/>
      <c r="L15" s="231"/>
      <c r="M15" s="231"/>
      <c r="N15" s="231"/>
      <c r="O15" s="231"/>
      <c r="P15" s="235"/>
      <c r="Q15" s="235"/>
      <c r="R15" s="236"/>
      <c r="S15" s="236"/>
      <c r="T15" s="237"/>
      <c r="U15" s="236"/>
      <c r="V15" s="236"/>
      <c r="W15" s="236"/>
      <c r="X15" s="236"/>
      <c r="Y15" s="236"/>
      <c r="Z15" s="236"/>
      <c r="AA15" s="234"/>
      <c r="AB15" s="231"/>
      <c r="AC15" s="231"/>
      <c r="AD15" s="231"/>
      <c r="AE15" s="236"/>
      <c r="AF15" s="236"/>
      <c r="AG15" s="239"/>
      <c r="AH15" s="240"/>
      <c r="AI15" s="241"/>
      <c r="AJ15" s="241"/>
      <c r="AK15" s="239"/>
      <c r="AL15" s="239"/>
      <c r="AM15" s="239"/>
      <c r="AN15" s="242"/>
      <c r="AO15" s="172">
        <f>AN15-($J$63*G15)</f>
        <v>0</v>
      </c>
      <c r="AP15" s="243"/>
      <c r="AQ15" s="243">
        <f>AP15-($J$63*G15)</f>
        <v>0</v>
      </c>
    </row>
    <row r="16" spans="1:43" x14ac:dyDescent="0.25">
      <c r="A16" s="230"/>
      <c r="B16" s="231"/>
      <c r="C16" s="231"/>
      <c r="D16" s="231"/>
      <c r="E16" s="231"/>
      <c r="F16" s="244" t="s">
        <v>479</v>
      </c>
      <c r="G16" s="245"/>
      <c r="H16" s="246">
        <f>SUM(G14:G15)</f>
        <v>18</v>
      </c>
      <c r="I16" s="247">
        <f>H16/(($J$8-$J$9)/$J$10)</f>
        <v>0.94285714285714295</v>
      </c>
      <c r="J16" s="234"/>
      <c r="K16" s="234"/>
      <c r="L16" s="231"/>
      <c r="M16" s="231"/>
      <c r="N16" s="231"/>
      <c r="O16" s="231"/>
      <c r="P16" s="235"/>
      <c r="Q16" s="235"/>
      <c r="R16" s="236"/>
      <c r="S16" s="236"/>
      <c r="T16" s="237"/>
      <c r="U16" s="236"/>
      <c r="V16" s="236"/>
      <c r="W16" s="236"/>
      <c r="X16" s="236"/>
      <c r="Y16" s="236"/>
      <c r="Z16" s="236"/>
      <c r="AA16" s="234"/>
      <c r="AB16" s="231"/>
      <c r="AC16" s="231"/>
      <c r="AD16" s="231"/>
      <c r="AE16" s="236"/>
      <c r="AF16" s="236"/>
      <c r="AG16" s="239"/>
      <c r="AH16" s="240"/>
      <c r="AI16" s="241"/>
      <c r="AJ16" s="241"/>
      <c r="AK16" s="239"/>
      <c r="AL16" s="239"/>
      <c r="AM16" s="239"/>
      <c r="AN16" s="242"/>
      <c r="AO16" s="172"/>
      <c r="AP16" s="243"/>
      <c r="AQ16" s="243"/>
    </row>
    <row r="17" spans="1:43" x14ac:dyDescent="0.25">
      <c r="A17" s="248">
        <v>42491</v>
      </c>
      <c r="B17" s="249" t="s">
        <v>480</v>
      </c>
      <c r="C17" s="250"/>
      <c r="D17" s="250"/>
      <c r="E17" s="250"/>
      <c r="F17" s="251"/>
      <c r="G17" s="252">
        <v>0</v>
      </c>
      <c r="H17" s="249"/>
      <c r="I17" s="253"/>
      <c r="J17" s="254">
        <v>0</v>
      </c>
      <c r="K17" s="254">
        <v>2103.7199999999998</v>
      </c>
      <c r="L17" s="253"/>
      <c r="M17" s="253"/>
      <c r="N17" s="253"/>
      <c r="O17" s="253"/>
      <c r="P17" s="253"/>
      <c r="Q17" s="253"/>
      <c r="R17" s="255">
        <f t="shared" ref="R17:R53" si="0">N17*$P$3</f>
        <v>0</v>
      </c>
      <c r="S17" s="255">
        <f t="shared" ref="S17:S53" si="1">O17*$P$4</f>
        <v>0</v>
      </c>
      <c r="T17" s="256">
        <f t="shared" ref="T17:T53" si="2">M17/$T$1</f>
        <v>0</v>
      </c>
      <c r="U17" s="255">
        <f>IF(L17=0,0,T17*$T$3)</f>
        <v>0</v>
      </c>
      <c r="V17" s="255">
        <f t="shared" ref="V17:V53" si="3">L17*T17</f>
        <v>0</v>
      </c>
      <c r="W17" s="255">
        <f t="shared" ref="W17:W53" si="4">T17*(L17*$T$2)</f>
        <v>0</v>
      </c>
      <c r="X17" s="255">
        <f t="shared" ref="X17:X51" si="5">T17*(L17*$AE$3)</f>
        <v>0</v>
      </c>
      <c r="Y17" s="255">
        <f t="shared" ref="Y17:Y53" si="6">T17*(L17*$T$2)*$AE$4</f>
        <v>0</v>
      </c>
      <c r="Z17" s="255">
        <f t="shared" ref="Z17:Z53" si="7">X17+Y17</f>
        <v>0</v>
      </c>
      <c r="AA17" s="254">
        <f t="shared" ref="AA17:AA53" si="8">P17+Q17+R17+S17+U17+Z17</f>
        <v>0</v>
      </c>
      <c r="AB17" s="253"/>
      <c r="AC17" s="253"/>
      <c r="AD17" s="253"/>
      <c r="AE17" s="255"/>
      <c r="AF17" s="255">
        <f t="shared" ref="AF17:AF57" si="9">AD17*$AE$4</f>
        <v>0</v>
      </c>
      <c r="AG17" s="257"/>
      <c r="AH17" s="258">
        <f>$AE$6</f>
        <v>0.05</v>
      </c>
      <c r="AI17" s="259">
        <f t="shared" ref="AI17:AI57" si="10">AB17*AH17</f>
        <v>0</v>
      </c>
      <c r="AJ17" s="259">
        <f t="shared" ref="AJ17:AJ57" si="11">AD17*AH17</f>
        <v>0</v>
      </c>
      <c r="AK17" s="257"/>
      <c r="AL17" s="257">
        <f t="shared" ref="AL17:AL57" si="12">AE17*AH17</f>
        <v>0</v>
      </c>
      <c r="AM17" s="257">
        <f t="shared" ref="AM17:AM57" si="13">AF17*AH17</f>
        <v>0</v>
      </c>
      <c r="AN17" s="242">
        <f t="shared" ref="AN17:AN57" si="14">AA17+AG17</f>
        <v>0</v>
      </c>
      <c r="AO17" s="172">
        <f>AN17-($J$63*G17)</f>
        <v>0</v>
      </c>
      <c r="AP17" s="243">
        <f t="shared" ref="AP17:AP57" si="15">AA17+AK17</f>
        <v>0</v>
      </c>
      <c r="AQ17" s="243">
        <f>AP17-($J$63*G17)</f>
        <v>0</v>
      </c>
    </row>
    <row r="18" spans="1:43" x14ac:dyDescent="0.25">
      <c r="A18" s="248"/>
      <c r="B18" s="249"/>
      <c r="C18" s="250"/>
      <c r="D18" s="250"/>
      <c r="E18" s="250"/>
      <c r="F18" s="260" t="s">
        <v>478</v>
      </c>
      <c r="G18" s="252">
        <v>0</v>
      </c>
      <c r="H18" s="249"/>
      <c r="I18" s="256"/>
      <c r="J18" s="254"/>
      <c r="K18" s="254"/>
      <c r="L18" s="253"/>
      <c r="M18" s="253"/>
      <c r="N18" s="253"/>
      <c r="O18" s="253"/>
      <c r="P18" s="253"/>
      <c r="Q18" s="253"/>
      <c r="R18" s="255"/>
      <c r="S18" s="255"/>
      <c r="T18" s="256"/>
      <c r="U18" s="261"/>
      <c r="V18" s="255"/>
      <c r="W18" s="255"/>
      <c r="X18" s="255"/>
      <c r="Y18" s="255"/>
      <c r="Z18" s="255"/>
      <c r="AA18" s="254"/>
      <c r="AB18" s="253"/>
      <c r="AC18" s="253"/>
      <c r="AD18" s="253"/>
      <c r="AE18" s="255"/>
      <c r="AF18" s="255"/>
      <c r="AG18" s="257"/>
      <c r="AH18" s="258"/>
      <c r="AI18" s="259"/>
      <c r="AJ18" s="259"/>
      <c r="AK18" s="257"/>
      <c r="AL18" s="257"/>
      <c r="AM18" s="257"/>
      <c r="AN18" s="242"/>
      <c r="AO18" s="172">
        <f>AN18-($J$63*G18)</f>
        <v>0</v>
      </c>
      <c r="AP18" s="243"/>
      <c r="AQ18" s="243">
        <f>AP18-($J$63*G18)</f>
        <v>0</v>
      </c>
    </row>
    <row r="19" spans="1:43" x14ac:dyDescent="0.25">
      <c r="A19" s="248"/>
      <c r="B19" s="249"/>
      <c r="C19" s="250"/>
      <c r="D19" s="250"/>
      <c r="E19" s="250"/>
      <c r="F19" s="262" t="s">
        <v>479</v>
      </c>
      <c r="G19" s="263"/>
      <c r="H19" s="264">
        <f>SUM(G17:G18)</f>
        <v>0</v>
      </c>
      <c r="I19" s="265"/>
      <c r="J19" s="254"/>
      <c r="K19" s="254"/>
      <c r="L19" s="253"/>
      <c r="M19" s="253"/>
      <c r="N19" s="253"/>
      <c r="O19" s="253"/>
      <c r="P19" s="253"/>
      <c r="Q19" s="253"/>
      <c r="R19" s="255"/>
      <c r="S19" s="255"/>
      <c r="T19" s="256"/>
      <c r="U19" s="261"/>
      <c r="V19" s="255"/>
      <c r="W19" s="255"/>
      <c r="X19" s="255"/>
      <c r="Y19" s="255"/>
      <c r="Z19" s="255"/>
      <c r="AA19" s="254"/>
      <c r="AB19" s="253"/>
      <c r="AC19" s="253"/>
      <c r="AD19" s="253"/>
      <c r="AE19" s="255"/>
      <c r="AF19" s="255"/>
      <c r="AG19" s="257"/>
      <c r="AH19" s="258"/>
      <c r="AI19" s="259"/>
      <c r="AJ19" s="259"/>
      <c r="AK19" s="257"/>
      <c r="AL19" s="257"/>
      <c r="AM19" s="257"/>
      <c r="AN19" s="242"/>
      <c r="AO19" s="172">
        <f>AN19-($J$63*G19)</f>
        <v>0</v>
      </c>
      <c r="AP19" s="243"/>
      <c r="AQ19" s="243">
        <f>AP19-($J$63*G19)</f>
        <v>0</v>
      </c>
    </row>
    <row r="20" spans="1:43" x14ac:dyDescent="0.25">
      <c r="A20" s="248">
        <v>42552</v>
      </c>
      <c r="B20" s="249" t="s">
        <v>481</v>
      </c>
      <c r="C20" s="249" t="s">
        <v>482</v>
      </c>
      <c r="D20" s="249" t="s">
        <v>483</v>
      </c>
      <c r="E20" s="249" t="s">
        <v>484</v>
      </c>
      <c r="F20" s="260"/>
      <c r="G20" s="252">
        <v>20</v>
      </c>
      <c r="H20" s="249"/>
      <c r="I20" s="256"/>
      <c r="J20" s="254">
        <v>24000</v>
      </c>
      <c r="K20" s="254">
        <v>25118.33</v>
      </c>
      <c r="L20" s="276">
        <v>8</v>
      </c>
      <c r="M20" s="276">
        <v>20</v>
      </c>
      <c r="N20" s="276">
        <v>8</v>
      </c>
      <c r="O20" s="276">
        <v>32</v>
      </c>
      <c r="P20" s="277">
        <f>'[1]Tillypronie Sawmill'!G26</f>
        <v>46956.086857142858</v>
      </c>
      <c r="Q20" s="276">
        <f>'[1]Tillypronie Sawmill'!G32</f>
        <v>26296</v>
      </c>
      <c r="R20" s="261">
        <f>N20*$P$3</f>
        <v>44.64</v>
      </c>
      <c r="S20" s="261">
        <f t="shared" si="1"/>
        <v>249.6</v>
      </c>
      <c r="T20" s="278">
        <f t="shared" si="2"/>
        <v>0.36363636363636365</v>
      </c>
      <c r="U20" s="261">
        <f>IF(L20=0,0,T20*$T$3)</f>
        <v>181.81818181818181</v>
      </c>
      <c r="V20" s="261">
        <f t="shared" si="3"/>
        <v>2.9090909090909092</v>
      </c>
      <c r="W20" s="261">
        <f t="shared" si="4"/>
        <v>11.636363636363637</v>
      </c>
      <c r="X20" s="261">
        <f t="shared" si="5"/>
        <v>32.436363636363637</v>
      </c>
      <c r="Y20" s="261">
        <f t="shared" si="6"/>
        <v>181.52727272727273</v>
      </c>
      <c r="Z20" s="261">
        <f t="shared" si="7"/>
        <v>213.96363636363637</v>
      </c>
      <c r="AA20" s="279">
        <f t="shared" si="8"/>
        <v>73942.108675324678</v>
      </c>
      <c r="AB20" s="276">
        <v>2392</v>
      </c>
      <c r="AC20" s="276">
        <v>4</v>
      </c>
      <c r="AD20" s="276">
        <f>AB20*AC20</f>
        <v>9568</v>
      </c>
      <c r="AE20" s="261">
        <f t="shared" ref="AE20:AE57" si="16">AB20*$AE$3</f>
        <v>26670.799999999999</v>
      </c>
      <c r="AF20" s="261">
        <f t="shared" si="9"/>
        <v>149260.79999999999</v>
      </c>
      <c r="AG20" s="280">
        <f>(AE20+AF20)</f>
        <v>175931.59999999998</v>
      </c>
      <c r="AH20" s="281">
        <f>$AE$6</f>
        <v>0.05</v>
      </c>
      <c r="AI20" s="282">
        <f t="shared" si="10"/>
        <v>119.60000000000001</v>
      </c>
      <c r="AJ20" s="282">
        <f t="shared" si="11"/>
        <v>478.40000000000003</v>
      </c>
      <c r="AK20" s="280">
        <f>AG20*AH20</f>
        <v>8796.58</v>
      </c>
      <c r="AL20" s="280">
        <f t="shared" si="12"/>
        <v>1333.54</v>
      </c>
      <c r="AM20" s="280">
        <f t="shared" si="13"/>
        <v>7463.04</v>
      </c>
      <c r="AN20" s="242">
        <f t="shared" si="14"/>
        <v>249873.70867532465</v>
      </c>
      <c r="AO20" s="172">
        <f>AN20-($J$63*G20)</f>
        <v>209568.35153246752</v>
      </c>
      <c r="AP20" s="243">
        <f t="shared" si="15"/>
        <v>82738.68867532468</v>
      </c>
      <c r="AQ20" s="243">
        <f>AP20-($J$63*G20)-440000</f>
        <v>-397566.66846753249</v>
      </c>
    </row>
    <row r="21" spans="1:43" x14ac:dyDescent="0.25">
      <c r="A21" s="248"/>
      <c r="B21" s="249"/>
      <c r="C21" s="249"/>
      <c r="D21" s="249"/>
      <c r="E21" s="249"/>
      <c r="F21" s="260" t="s">
        <v>478</v>
      </c>
      <c r="G21" s="252">
        <v>0</v>
      </c>
      <c r="H21" s="249"/>
      <c r="I21" s="256"/>
      <c r="J21" s="254"/>
      <c r="K21" s="254"/>
      <c r="L21" s="283"/>
      <c r="M21" s="276"/>
      <c r="N21" s="283"/>
      <c r="O21" s="283"/>
      <c r="P21" s="283"/>
      <c r="Q21" s="283"/>
      <c r="R21" s="284"/>
      <c r="S21" s="284"/>
      <c r="T21" s="285"/>
      <c r="U21" s="261"/>
      <c r="V21" s="284"/>
      <c r="W21" s="284"/>
      <c r="X21" s="284"/>
      <c r="Y21" s="284"/>
      <c r="Z21" s="284"/>
      <c r="AA21" s="286"/>
      <c r="AB21" s="276"/>
      <c r="AC21" s="276"/>
      <c r="AD21" s="276"/>
      <c r="AE21" s="261"/>
      <c r="AF21" s="261"/>
      <c r="AG21" s="280"/>
      <c r="AH21" s="281"/>
      <c r="AI21" s="282"/>
      <c r="AJ21" s="282"/>
      <c r="AK21" s="280"/>
      <c r="AL21" s="280"/>
      <c r="AM21" s="280"/>
      <c r="AN21" s="242"/>
      <c r="AO21" s="172">
        <f>AN21-($J$63*G21)</f>
        <v>0</v>
      </c>
      <c r="AP21" s="243"/>
      <c r="AQ21" s="243">
        <f>AP21-($J$63*G21)</f>
        <v>0</v>
      </c>
    </row>
    <row r="22" spans="1:43" x14ac:dyDescent="0.25">
      <c r="A22" s="248"/>
      <c r="B22" s="249"/>
      <c r="C22" s="249"/>
      <c r="D22" s="249"/>
      <c r="E22" s="249"/>
      <c r="F22" s="262" t="s">
        <v>479</v>
      </c>
      <c r="G22" s="263"/>
      <c r="H22" s="264">
        <f>SUM(G20:G21)</f>
        <v>20</v>
      </c>
      <c r="I22" s="265">
        <f>H22/(($J$8-$J$9)/$J$10)</f>
        <v>1.0476190476190477</v>
      </c>
      <c r="J22" s="254"/>
      <c r="K22" s="254"/>
      <c r="L22" s="253"/>
      <c r="M22" s="253"/>
      <c r="N22" s="253"/>
      <c r="O22" s="253"/>
      <c r="P22" s="253"/>
      <c r="Q22" s="253"/>
      <c r="R22" s="255"/>
      <c r="S22" s="255"/>
      <c r="T22" s="256"/>
      <c r="U22" s="261"/>
      <c r="V22" s="255"/>
      <c r="W22" s="255"/>
      <c r="X22" s="255"/>
      <c r="Y22" s="255"/>
      <c r="Z22" s="255"/>
      <c r="AA22" s="254"/>
      <c r="AB22" s="276"/>
      <c r="AC22" s="276"/>
      <c r="AD22" s="276"/>
      <c r="AE22" s="261"/>
      <c r="AF22" s="261"/>
      <c r="AG22" s="280"/>
      <c r="AH22" s="281"/>
      <c r="AI22" s="282"/>
      <c r="AJ22" s="282"/>
      <c r="AK22" s="280"/>
      <c r="AL22" s="280"/>
      <c r="AM22" s="280"/>
      <c r="AN22" s="242"/>
      <c r="AO22" s="172"/>
      <c r="AP22" s="243"/>
      <c r="AQ22" s="243"/>
    </row>
    <row r="23" spans="1:43" x14ac:dyDescent="0.25">
      <c r="A23" s="230">
        <v>42583</v>
      </c>
      <c r="B23" s="266" t="s">
        <v>481</v>
      </c>
      <c r="C23" s="266" t="s">
        <v>482</v>
      </c>
      <c r="D23" s="266" t="s">
        <v>483</v>
      </c>
      <c r="E23" s="266" t="s">
        <v>485</v>
      </c>
      <c r="F23" s="268">
        <v>42601</v>
      </c>
      <c r="G23" s="269">
        <v>15</v>
      </c>
      <c r="H23" s="266"/>
      <c r="I23" s="231"/>
      <c r="J23" s="234">
        <v>24000</v>
      </c>
      <c r="K23" s="234">
        <v>17459.27</v>
      </c>
      <c r="L23" s="271">
        <v>0</v>
      </c>
      <c r="M23" s="271">
        <v>10</v>
      </c>
      <c r="N23" s="271">
        <v>0</v>
      </c>
      <c r="O23" s="271">
        <v>0</v>
      </c>
      <c r="P23" s="271">
        <v>5000</v>
      </c>
      <c r="Q23" s="271">
        <v>0</v>
      </c>
      <c r="R23" s="238">
        <f t="shared" si="0"/>
        <v>0</v>
      </c>
      <c r="S23" s="238">
        <f t="shared" si="1"/>
        <v>0</v>
      </c>
      <c r="T23" s="287">
        <f t="shared" si="2"/>
        <v>0.18181818181818182</v>
      </c>
      <c r="U23" s="238">
        <f>IF(L23=0,0,T23*$T$3)</f>
        <v>0</v>
      </c>
      <c r="V23" s="238">
        <f t="shared" si="3"/>
        <v>0</v>
      </c>
      <c r="W23" s="238">
        <f t="shared" si="4"/>
        <v>0</v>
      </c>
      <c r="X23" s="238">
        <f t="shared" si="5"/>
        <v>0</v>
      </c>
      <c r="Y23" s="238">
        <f t="shared" si="6"/>
        <v>0</v>
      </c>
      <c r="Z23" s="238">
        <f t="shared" si="7"/>
        <v>0</v>
      </c>
      <c r="AA23" s="272">
        <f>P23+Q23+R23+S23+U23+Z23</f>
        <v>5000</v>
      </c>
      <c r="AB23" s="271">
        <v>2392</v>
      </c>
      <c r="AC23" s="271">
        <v>4</v>
      </c>
      <c r="AD23" s="271">
        <f t="shared" ref="AD23:AD57" si="17">AB23*AC23</f>
        <v>9568</v>
      </c>
      <c r="AE23" s="238">
        <f t="shared" si="16"/>
        <v>26670.799999999999</v>
      </c>
      <c r="AF23" s="238">
        <f t="shared" si="9"/>
        <v>149260.79999999999</v>
      </c>
      <c r="AG23" s="288">
        <f t="shared" ref="AG23:AG57" si="18">(AE23+AF23)</f>
        <v>175931.59999999998</v>
      </c>
      <c r="AH23" s="289">
        <f>$AE$6</f>
        <v>0.05</v>
      </c>
      <c r="AI23" s="290">
        <f t="shared" si="10"/>
        <v>119.60000000000001</v>
      </c>
      <c r="AJ23" s="290">
        <f t="shared" si="11"/>
        <v>478.40000000000003</v>
      </c>
      <c r="AK23" s="288">
        <f t="shared" ref="AK23:AK57" si="19">AG23*AH23</f>
        <v>8796.58</v>
      </c>
      <c r="AL23" s="288">
        <f t="shared" si="12"/>
        <v>1333.54</v>
      </c>
      <c r="AM23" s="288">
        <f t="shared" si="13"/>
        <v>7463.04</v>
      </c>
      <c r="AN23" s="242">
        <f t="shared" si="14"/>
        <v>180931.59999999998</v>
      </c>
      <c r="AO23" s="172">
        <f>AN23-($J$63*G23)</f>
        <v>150702.58214285714</v>
      </c>
      <c r="AP23" s="243">
        <f t="shared" si="15"/>
        <v>13796.58</v>
      </c>
      <c r="AQ23" s="243">
        <f>AP23-($J$63*G23)</f>
        <v>-16432.437857142853</v>
      </c>
    </row>
    <row r="24" spans="1:43" x14ac:dyDescent="0.25">
      <c r="A24" s="230"/>
      <c r="B24" s="266" t="s">
        <v>486</v>
      </c>
      <c r="C24" s="266" t="s">
        <v>487</v>
      </c>
      <c r="D24" s="266" t="s">
        <v>488</v>
      </c>
      <c r="E24" s="266" t="s">
        <v>489</v>
      </c>
      <c r="F24" s="268">
        <v>42608</v>
      </c>
      <c r="G24" s="269">
        <v>4</v>
      </c>
      <c r="H24" s="266"/>
      <c r="I24" s="231"/>
      <c r="J24" s="234"/>
      <c r="K24" s="234"/>
      <c r="L24" s="271">
        <v>25</v>
      </c>
      <c r="M24" s="271">
        <v>10</v>
      </c>
      <c r="N24" s="271">
        <v>50</v>
      </c>
      <c r="O24" s="271">
        <v>300</v>
      </c>
      <c r="P24" s="271">
        <f>[1]Kinniard!G26</f>
        <v>5402</v>
      </c>
      <c r="Q24" s="271">
        <f>[1]Kinniard!G32</f>
        <v>5370</v>
      </c>
      <c r="R24" s="238">
        <f>N24*$P$3</f>
        <v>279</v>
      </c>
      <c r="S24" s="238">
        <f>O24*$P$4</f>
        <v>2340</v>
      </c>
      <c r="T24" s="287">
        <f t="shared" si="2"/>
        <v>0.18181818181818182</v>
      </c>
      <c r="U24" s="238">
        <f t="shared" ref="U24:U25" si="20">IF(L24=0,0,T24*$T$3)</f>
        <v>90.909090909090907</v>
      </c>
      <c r="V24" s="238">
        <f t="shared" si="3"/>
        <v>4.5454545454545459</v>
      </c>
      <c r="W24" s="238">
        <f t="shared" si="4"/>
        <v>18.181818181818183</v>
      </c>
      <c r="X24" s="238">
        <f t="shared" si="5"/>
        <v>50.68181818181818</v>
      </c>
      <c r="Y24" s="238">
        <f t="shared" si="6"/>
        <v>283.63636363636368</v>
      </c>
      <c r="Z24" s="238">
        <f t="shared" si="7"/>
        <v>334.31818181818187</v>
      </c>
      <c r="AA24" s="270">
        <f t="shared" si="8"/>
        <v>13816.227272727272</v>
      </c>
      <c r="AB24" s="271">
        <v>120</v>
      </c>
      <c r="AC24" s="271">
        <v>4</v>
      </c>
      <c r="AD24" s="271">
        <f t="shared" si="17"/>
        <v>480</v>
      </c>
      <c r="AE24" s="238">
        <f t="shared" si="16"/>
        <v>1338</v>
      </c>
      <c r="AF24" s="238">
        <f t="shared" si="9"/>
        <v>7488</v>
      </c>
      <c r="AG24" s="288">
        <f t="shared" si="18"/>
        <v>8826</v>
      </c>
      <c r="AH24" s="240">
        <f>$AE$6</f>
        <v>0.05</v>
      </c>
      <c r="AI24" s="290">
        <f t="shared" si="10"/>
        <v>6</v>
      </c>
      <c r="AJ24" s="290">
        <f t="shared" si="11"/>
        <v>24</v>
      </c>
      <c r="AK24" s="288">
        <f t="shared" si="19"/>
        <v>441.3</v>
      </c>
      <c r="AL24" s="288">
        <f t="shared" si="12"/>
        <v>66.900000000000006</v>
      </c>
      <c r="AM24" s="288">
        <f t="shared" si="13"/>
        <v>374.40000000000003</v>
      </c>
      <c r="AN24" s="242">
        <f t="shared" si="14"/>
        <v>22642.227272727272</v>
      </c>
      <c r="AO24" s="172">
        <f>AN24-($J$63*G24)</f>
        <v>14581.155844155845</v>
      </c>
      <c r="AP24" s="243">
        <f t="shared" si="15"/>
        <v>14257.527272727271</v>
      </c>
      <c r="AQ24" s="243">
        <f>AP24-($J$63*G24)</f>
        <v>6196.4558441558429</v>
      </c>
    </row>
    <row r="25" spans="1:43" x14ac:dyDescent="0.25">
      <c r="A25" s="230"/>
      <c r="B25" s="266" t="s">
        <v>387</v>
      </c>
      <c r="C25" s="266" t="s">
        <v>490</v>
      </c>
      <c r="D25" s="266" t="s">
        <v>490</v>
      </c>
      <c r="E25" s="266" t="s">
        <v>402</v>
      </c>
      <c r="F25" s="268">
        <v>42613</v>
      </c>
      <c r="G25" s="269">
        <v>2</v>
      </c>
      <c r="H25" s="266"/>
      <c r="I25" s="237"/>
      <c r="J25" s="234"/>
      <c r="K25" s="234"/>
      <c r="L25" s="231">
        <v>115</v>
      </c>
      <c r="M25" s="231">
        <v>3</v>
      </c>
      <c r="N25" s="231">
        <v>230</v>
      </c>
      <c r="O25" s="231">
        <f>N25*5</f>
        <v>1150</v>
      </c>
      <c r="P25" s="231">
        <f>[1]Achnaba!G26+[1]Achnaba!R33</f>
        <v>16845</v>
      </c>
      <c r="Q25" s="231">
        <f>[1]Achnaba!G32</f>
        <v>2440</v>
      </c>
      <c r="R25" s="236">
        <f t="shared" si="0"/>
        <v>1283.4000000000001</v>
      </c>
      <c r="S25" s="236">
        <f t="shared" si="1"/>
        <v>8970</v>
      </c>
      <c r="T25" s="237">
        <f t="shared" si="2"/>
        <v>5.4545454545454543E-2</v>
      </c>
      <c r="U25" s="238">
        <f t="shared" si="20"/>
        <v>27.27272727272727</v>
      </c>
      <c r="V25" s="236">
        <f t="shared" si="3"/>
        <v>6.2727272727272725</v>
      </c>
      <c r="W25" s="236">
        <f t="shared" si="4"/>
        <v>25.09090909090909</v>
      </c>
      <c r="X25" s="236">
        <f t="shared" si="5"/>
        <v>69.940909090909088</v>
      </c>
      <c r="Y25" s="236">
        <f t="shared" si="6"/>
        <v>391.41818181818178</v>
      </c>
      <c r="Z25" s="236">
        <f t="shared" si="7"/>
        <v>461.35909090909087</v>
      </c>
      <c r="AA25" s="234">
        <f t="shared" si="8"/>
        <v>30027.031818181822</v>
      </c>
      <c r="AB25" s="231">
        <v>6728</v>
      </c>
      <c r="AC25" s="231">
        <v>5</v>
      </c>
      <c r="AD25" s="231">
        <f t="shared" si="17"/>
        <v>33640</v>
      </c>
      <c r="AE25" s="236">
        <f t="shared" si="16"/>
        <v>75017.2</v>
      </c>
      <c r="AF25" s="236">
        <f t="shared" si="9"/>
        <v>524784</v>
      </c>
      <c r="AG25" s="239">
        <f>(AE25+AF25)</f>
        <v>599801.19999999995</v>
      </c>
      <c r="AH25" s="240">
        <f>$AE$6</f>
        <v>0.05</v>
      </c>
      <c r="AI25" s="241">
        <f t="shared" si="10"/>
        <v>336.40000000000003</v>
      </c>
      <c r="AJ25" s="241">
        <f t="shared" si="11"/>
        <v>1682</v>
      </c>
      <c r="AK25" s="239">
        <f t="shared" si="19"/>
        <v>29990.059999999998</v>
      </c>
      <c r="AL25" s="239">
        <f t="shared" si="12"/>
        <v>3750.86</v>
      </c>
      <c r="AM25" s="239">
        <f t="shared" si="13"/>
        <v>26239.200000000001</v>
      </c>
      <c r="AN25" s="242">
        <f t="shared" si="14"/>
        <v>629828.23181818181</v>
      </c>
      <c r="AO25" s="172">
        <f>AN25-($J$63*G25)</f>
        <v>625797.69610389613</v>
      </c>
      <c r="AP25" s="243">
        <f t="shared" si="15"/>
        <v>60017.09181818182</v>
      </c>
      <c r="AQ25" s="243">
        <f>AP25-($J$63*G25)</f>
        <v>55986.556103896102</v>
      </c>
    </row>
    <row r="26" spans="1:43" x14ac:dyDescent="0.25">
      <c r="A26" s="230"/>
      <c r="B26" s="266"/>
      <c r="C26" s="266"/>
      <c r="D26" s="266"/>
      <c r="E26" s="266"/>
      <c r="F26" s="268" t="s">
        <v>478</v>
      </c>
      <c r="G26" s="269">
        <v>0</v>
      </c>
      <c r="H26" s="266"/>
      <c r="I26" s="237"/>
      <c r="J26" s="234"/>
      <c r="K26" s="234"/>
      <c r="L26" s="231"/>
      <c r="M26" s="231"/>
      <c r="N26" s="231"/>
      <c r="O26" s="231"/>
      <c r="P26" s="231"/>
      <c r="Q26" s="231"/>
      <c r="R26" s="236"/>
      <c r="S26" s="236"/>
      <c r="T26" s="237"/>
      <c r="U26" s="238"/>
      <c r="V26" s="236"/>
      <c r="W26" s="236"/>
      <c r="X26" s="236"/>
      <c r="Y26" s="236"/>
      <c r="Z26" s="236"/>
      <c r="AA26" s="234"/>
      <c r="AB26" s="231"/>
      <c r="AC26" s="231"/>
      <c r="AD26" s="231"/>
      <c r="AE26" s="236"/>
      <c r="AF26" s="236"/>
      <c r="AG26" s="239"/>
      <c r="AH26" s="240"/>
      <c r="AI26" s="241"/>
      <c r="AJ26" s="241"/>
      <c r="AK26" s="239"/>
      <c r="AL26" s="239"/>
      <c r="AM26" s="239"/>
      <c r="AN26" s="242"/>
      <c r="AO26" s="172">
        <f>AN26-($J$63*G26)</f>
        <v>0</v>
      </c>
      <c r="AP26" s="243"/>
      <c r="AQ26" s="243">
        <f>AP26-($J$63*G26)</f>
        <v>0</v>
      </c>
    </row>
    <row r="27" spans="1:43" x14ac:dyDescent="0.25">
      <c r="A27" s="230"/>
      <c r="B27" s="267"/>
      <c r="C27" s="267"/>
      <c r="D27" s="267"/>
      <c r="E27" s="267"/>
      <c r="F27" s="273" t="s">
        <v>479</v>
      </c>
      <c r="G27" s="274"/>
      <c r="H27" s="275">
        <f>SUM(G23:G26)</f>
        <v>21</v>
      </c>
      <c r="I27" s="291">
        <f>H27/(($J$8-$J$9)/$J$10)</f>
        <v>1.1000000000000001</v>
      </c>
      <c r="J27" s="234"/>
      <c r="K27" s="234"/>
      <c r="L27" s="231"/>
      <c r="M27" s="231"/>
      <c r="N27" s="231"/>
      <c r="O27" s="231"/>
      <c r="P27" s="231"/>
      <c r="Q27" s="231"/>
      <c r="R27" s="236"/>
      <c r="S27" s="236"/>
      <c r="T27" s="237"/>
      <c r="U27" s="238"/>
      <c r="V27" s="236"/>
      <c r="W27" s="236"/>
      <c r="X27" s="236"/>
      <c r="Y27" s="236"/>
      <c r="Z27" s="236"/>
      <c r="AA27" s="234"/>
      <c r="AB27" s="231"/>
      <c r="AC27" s="231"/>
      <c r="AD27" s="231"/>
      <c r="AE27" s="236"/>
      <c r="AF27" s="236"/>
      <c r="AG27" s="239"/>
      <c r="AH27" s="240"/>
      <c r="AI27" s="241"/>
      <c r="AJ27" s="241"/>
      <c r="AK27" s="239"/>
      <c r="AL27" s="239"/>
      <c r="AM27" s="239"/>
      <c r="AN27" s="242"/>
      <c r="AO27" s="172"/>
      <c r="AP27" s="243"/>
      <c r="AQ27" s="243"/>
    </row>
    <row r="28" spans="1:43" x14ac:dyDescent="0.25">
      <c r="A28" s="248">
        <v>42614</v>
      </c>
      <c r="B28" s="249" t="s">
        <v>491</v>
      </c>
      <c r="C28" s="249" t="s">
        <v>492</v>
      </c>
      <c r="D28" s="249" t="s">
        <v>493</v>
      </c>
      <c r="E28" s="249" t="s">
        <v>391</v>
      </c>
      <c r="F28" s="260">
        <v>42643</v>
      </c>
      <c r="G28" s="252">
        <v>6</v>
      </c>
      <c r="H28" s="249"/>
      <c r="I28" s="256"/>
      <c r="J28" s="254">
        <v>24000</v>
      </c>
      <c r="K28" s="254">
        <v>4076.39</v>
      </c>
      <c r="L28" s="253">
        <v>0</v>
      </c>
      <c r="M28" s="253">
        <v>10</v>
      </c>
      <c r="N28" s="253">
        <v>0</v>
      </c>
      <c r="O28" s="253">
        <v>0</v>
      </c>
      <c r="P28" s="253">
        <v>0</v>
      </c>
      <c r="Q28" s="253">
        <v>0</v>
      </c>
      <c r="R28" s="255">
        <f t="shared" si="0"/>
        <v>0</v>
      </c>
      <c r="S28" s="255">
        <f t="shared" si="1"/>
        <v>0</v>
      </c>
      <c r="T28" s="256">
        <v>0</v>
      </c>
      <c r="U28" s="255">
        <f t="shared" ref="U28" si="21">IF(L28=0,0,T28*$T$3)</f>
        <v>0</v>
      </c>
      <c r="V28" s="255">
        <f t="shared" si="3"/>
        <v>0</v>
      </c>
      <c r="W28" s="255">
        <f t="shared" si="4"/>
        <v>0</v>
      </c>
      <c r="X28" s="255">
        <f t="shared" si="5"/>
        <v>0</v>
      </c>
      <c r="Y28" s="255">
        <f t="shared" si="6"/>
        <v>0</v>
      </c>
      <c r="Z28" s="255">
        <f t="shared" si="7"/>
        <v>0</v>
      </c>
      <c r="AA28" s="254">
        <f t="shared" si="8"/>
        <v>0</v>
      </c>
      <c r="AB28" s="253">
        <v>5091</v>
      </c>
      <c r="AC28" s="253">
        <v>4</v>
      </c>
      <c r="AD28" s="253">
        <f t="shared" si="17"/>
        <v>20364</v>
      </c>
      <c r="AE28" s="255">
        <f>AB28*$AE$3</f>
        <v>56764.65</v>
      </c>
      <c r="AF28" s="255">
        <f t="shared" si="9"/>
        <v>317678.39999999997</v>
      </c>
      <c r="AG28" s="257">
        <f>(AE28+AF28)</f>
        <v>374443.05</v>
      </c>
      <c r="AH28" s="258">
        <f>$AE$6</f>
        <v>0.05</v>
      </c>
      <c r="AI28" s="259">
        <f>AB28*AH28</f>
        <v>254.55</v>
      </c>
      <c r="AJ28" s="259">
        <f>AD28*AH28</f>
        <v>1018.2</v>
      </c>
      <c r="AK28" s="257">
        <f t="shared" si="19"/>
        <v>18722.1525</v>
      </c>
      <c r="AL28" s="257">
        <f t="shared" si="12"/>
        <v>2838.2325000000001</v>
      </c>
      <c r="AM28" s="257">
        <f t="shared" si="13"/>
        <v>15883.919999999998</v>
      </c>
      <c r="AN28" s="242">
        <f t="shared" si="14"/>
        <v>374443.05</v>
      </c>
      <c r="AO28" s="172">
        <f>AN28-($J$63*G28)</f>
        <v>362351.44285714283</v>
      </c>
      <c r="AP28" s="243">
        <f>AA28+AK28</f>
        <v>18722.1525</v>
      </c>
      <c r="AQ28" s="243">
        <f>AP28-($J$63*G28)</f>
        <v>6630.545357142857</v>
      </c>
    </row>
    <row r="29" spans="1:43" x14ac:dyDescent="0.25">
      <c r="A29" s="248"/>
      <c r="B29" s="249"/>
      <c r="C29" s="249"/>
      <c r="D29" s="249"/>
      <c r="E29" s="249"/>
      <c r="F29" s="260" t="s">
        <v>478</v>
      </c>
      <c r="G29" s="252">
        <v>2</v>
      </c>
      <c r="H29" s="249"/>
      <c r="I29" s="256"/>
      <c r="J29" s="254"/>
      <c r="K29" s="254"/>
      <c r="L29" s="253"/>
      <c r="M29" s="253"/>
      <c r="N29" s="253"/>
      <c r="O29" s="253"/>
      <c r="P29" s="253"/>
      <c r="Q29" s="253"/>
      <c r="R29" s="255"/>
      <c r="S29" s="255"/>
      <c r="T29" s="256"/>
      <c r="U29" s="261"/>
      <c r="V29" s="255"/>
      <c r="W29" s="255"/>
      <c r="X29" s="255"/>
      <c r="Y29" s="255"/>
      <c r="Z29" s="255"/>
      <c r="AA29" s="254"/>
      <c r="AB29" s="253"/>
      <c r="AC29" s="253"/>
      <c r="AD29" s="253"/>
      <c r="AE29" s="255"/>
      <c r="AF29" s="255"/>
      <c r="AG29" s="257"/>
      <c r="AH29" s="258"/>
      <c r="AI29" s="259"/>
      <c r="AJ29" s="259"/>
      <c r="AK29" s="257"/>
      <c r="AL29" s="257"/>
      <c r="AM29" s="257"/>
      <c r="AN29" s="242"/>
      <c r="AO29" s="172">
        <f>AN29-($J$63*G29)</f>
        <v>-4030.5357142857142</v>
      </c>
      <c r="AP29" s="243"/>
      <c r="AQ29" s="243">
        <f>AP29-($J$63*G29)</f>
        <v>-4030.5357142857142</v>
      </c>
    </row>
    <row r="30" spans="1:43" x14ac:dyDescent="0.25">
      <c r="A30" s="248"/>
      <c r="B30" s="253"/>
      <c r="C30" s="253"/>
      <c r="D30" s="253"/>
      <c r="E30" s="253"/>
      <c r="F30" s="262" t="s">
        <v>479</v>
      </c>
      <c r="G30" s="263"/>
      <c r="H30" s="264">
        <f>SUM(G28:G29)</f>
        <v>8</v>
      </c>
      <c r="I30" s="292">
        <f>H30/(($J$8-$J$9)/$J$10)</f>
        <v>0.41904761904761906</v>
      </c>
      <c r="J30" s="286"/>
      <c r="K30" s="254"/>
      <c r="L30" s="253"/>
      <c r="M30" s="253"/>
      <c r="N30" s="253"/>
      <c r="O30" s="253"/>
      <c r="P30" s="253"/>
      <c r="Q30" s="253"/>
      <c r="R30" s="255"/>
      <c r="S30" s="255"/>
      <c r="T30" s="256"/>
      <c r="U30" s="261"/>
      <c r="V30" s="255"/>
      <c r="W30" s="255"/>
      <c r="X30" s="255"/>
      <c r="Y30" s="255"/>
      <c r="Z30" s="255"/>
      <c r="AA30" s="254"/>
      <c r="AB30" s="253"/>
      <c r="AC30" s="253"/>
      <c r="AD30" s="253"/>
      <c r="AE30" s="255"/>
      <c r="AF30" s="255"/>
      <c r="AG30" s="257"/>
      <c r="AH30" s="258"/>
      <c r="AI30" s="259"/>
      <c r="AJ30" s="259"/>
      <c r="AK30" s="257"/>
      <c r="AL30" s="257"/>
      <c r="AM30" s="257"/>
      <c r="AN30" s="242"/>
      <c r="AO30" s="172"/>
      <c r="AP30" s="243"/>
      <c r="AQ30" s="243"/>
    </row>
    <row r="31" spans="1:43" x14ac:dyDescent="0.25">
      <c r="A31" s="230">
        <v>42644</v>
      </c>
      <c r="B31" s="266" t="s">
        <v>387</v>
      </c>
      <c r="C31" s="266" t="s">
        <v>494</v>
      </c>
      <c r="D31" s="266" t="s">
        <v>495</v>
      </c>
      <c r="E31" s="266" t="s">
        <v>402</v>
      </c>
      <c r="F31" s="268">
        <v>42653</v>
      </c>
      <c r="G31" s="269">
        <v>5</v>
      </c>
      <c r="H31" s="266"/>
      <c r="I31" s="266"/>
      <c r="J31" s="234">
        <v>24000</v>
      </c>
      <c r="K31" s="234">
        <v>16436.36</v>
      </c>
      <c r="L31" s="271">
        <v>30</v>
      </c>
      <c r="M31" s="271">
        <v>8</v>
      </c>
      <c r="N31" s="271">
        <v>60</v>
      </c>
      <c r="O31" s="271">
        <v>240</v>
      </c>
      <c r="P31" s="293">
        <f>'[1]Cnochan a Chorra'!G26</f>
        <v>71100</v>
      </c>
      <c r="Q31" s="271">
        <f>'[1]Cnochan a Chorra'!G32</f>
        <v>11560</v>
      </c>
      <c r="R31" s="236">
        <f t="shared" si="0"/>
        <v>334.8</v>
      </c>
      <c r="S31" s="236">
        <f t="shared" si="1"/>
        <v>1872</v>
      </c>
      <c r="T31" s="237">
        <f t="shared" si="2"/>
        <v>0.14545454545454545</v>
      </c>
      <c r="U31" s="238">
        <f t="shared" ref="U31:U32" si="22">IF(L31=0,0,T31*$T$3)</f>
        <v>72.72727272727272</v>
      </c>
      <c r="V31" s="236">
        <f t="shared" si="3"/>
        <v>4.3636363636363633</v>
      </c>
      <c r="W31" s="236">
        <f t="shared" si="4"/>
        <v>17.454545454545453</v>
      </c>
      <c r="X31" s="236">
        <f t="shared" si="5"/>
        <v>48.654545454545449</v>
      </c>
      <c r="Y31" s="236">
        <f t="shared" si="6"/>
        <v>272.29090909090905</v>
      </c>
      <c r="Z31" s="236">
        <f t="shared" si="7"/>
        <v>320.94545454545448</v>
      </c>
      <c r="AA31" s="234">
        <f t="shared" si="8"/>
        <v>85260.472727272732</v>
      </c>
      <c r="AB31" s="231">
        <v>0</v>
      </c>
      <c r="AC31" s="231">
        <v>0</v>
      </c>
      <c r="AD31" s="231">
        <f t="shared" si="17"/>
        <v>0</v>
      </c>
      <c r="AE31" s="236">
        <f t="shared" si="16"/>
        <v>0</v>
      </c>
      <c r="AF31" s="236">
        <f t="shared" si="9"/>
        <v>0</v>
      </c>
      <c r="AG31" s="239">
        <f t="shared" si="18"/>
        <v>0</v>
      </c>
      <c r="AH31" s="240">
        <f>$AE$6</f>
        <v>0.05</v>
      </c>
      <c r="AI31" s="241">
        <f t="shared" si="10"/>
        <v>0</v>
      </c>
      <c r="AJ31" s="241">
        <f t="shared" si="11"/>
        <v>0</v>
      </c>
      <c r="AK31" s="239">
        <f t="shared" si="19"/>
        <v>0</v>
      </c>
      <c r="AL31" s="239">
        <f t="shared" si="12"/>
        <v>0</v>
      </c>
      <c r="AM31" s="239">
        <f t="shared" si="13"/>
        <v>0</v>
      </c>
      <c r="AN31" s="242">
        <f t="shared" si="14"/>
        <v>85260.472727272732</v>
      </c>
      <c r="AO31" s="172">
        <f>AN31-($J$63*G31)</f>
        <v>75184.133441558442</v>
      </c>
      <c r="AP31" s="243">
        <f t="shared" si="15"/>
        <v>85260.472727272732</v>
      </c>
      <c r="AQ31" s="243">
        <f>AP31-($J$63*G31)</f>
        <v>75184.133441558442</v>
      </c>
    </row>
    <row r="32" spans="1:43" x14ac:dyDescent="0.25">
      <c r="A32" s="230"/>
      <c r="B32" s="266" t="s">
        <v>387</v>
      </c>
      <c r="C32" s="266" t="s">
        <v>496</v>
      </c>
      <c r="D32" s="266" t="s">
        <v>497</v>
      </c>
      <c r="E32" s="266" t="s">
        <v>498</v>
      </c>
      <c r="F32" s="268">
        <v>42669</v>
      </c>
      <c r="G32" s="269">
        <v>8</v>
      </c>
      <c r="H32" s="266"/>
      <c r="I32" s="237"/>
      <c r="J32" s="234"/>
      <c r="K32" s="234"/>
      <c r="L32" s="271">
        <v>122</v>
      </c>
      <c r="M32" s="271">
        <v>8</v>
      </c>
      <c r="N32" s="271">
        <v>244</v>
      </c>
      <c r="O32" s="271">
        <v>984</v>
      </c>
      <c r="P32" s="293">
        <f>'[1]Kyles View'!G26+'[1]Kyles View'!R33</f>
        <v>33557.933714285711</v>
      </c>
      <c r="Q32" s="271">
        <f>'[1]Kyles View'!G32</f>
        <v>7376</v>
      </c>
      <c r="R32" s="236">
        <f>N32*$P$3</f>
        <v>1361.52</v>
      </c>
      <c r="S32" s="236">
        <f>O32*$P$4</f>
        <v>7675.2</v>
      </c>
      <c r="T32" s="237">
        <f t="shared" si="2"/>
        <v>0.14545454545454545</v>
      </c>
      <c r="U32" s="238">
        <f t="shared" si="22"/>
        <v>72.72727272727272</v>
      </c>
      <c r="V32" s="236">
        <f t="shared" si="3"/>
        <v>17.745454545454546</v>
      </c>
      <c r="W32" s="236">
        <f t="shared" si="4"/>
        <v>70.981818181818184</v>
      </c>
      <c r="X32" s="236">
        <f t="shared" si="5"/>
        <v>197.86181818181817</v>
      </c>
      <c r="Y32" s="236">
        <f t="shared" si="6"/>
        <v>1107.3163636363636</v>
      </c>
      <c r="Z32" s="236">
        <f t="shared" si="7"/>
        <v>1305.1781818181817</v>
      </c>
      <c r="AA32" s="234">
        <f t="shared" si="8"/>
        <v>51348.559168831162</v>
      </c>
      <c r="AB32" s="231">
        <v>0</v>
      </c>
      <c r="AC32" s="231">
        <v>0</v>
      </c>
      <c r="AD32" s="231">
        <v>0</v>
      </c>
      <c r="AE32" s="236">
        <f t="shared" si="16"/>
        <v>0</v>
      </c>
      <c r="AF32" s="236">
        <f t="shared" si="9"/>
        <v>0</v>
      </c>
      <c r="AG32" s="239">
        <f t="shared" si="18"/>
        <v>0</v>
      </c>
      <c r="AH32" s="240">
        <f>$AE$6</f>
        <v>0.05</v>
      </c>
      <c r="AI32" s="241">
        <f t="shared" si="10"/>
        <v>0</v>
      </c>
      <c r="AJ32" s="241">
        <f t="shared" si="11"/>
        <v>0</v>
      </c>
      <c r="AK32" s="239">
        <f t="shared" si="19"/>
        <v>0</v>
      </c>
      <c r="AL32" s="239">
        <f t="shared" si="12"/>
        <v>0</v>
      </c>
      <c r="AM32" s="239">
        <f t="shared" si="13"/>
        <v>0</v>
      </c>
      <c r="AN32" s="242">
        <f t="shared" si="14"/>
        <v>51348.559168831162</v>
      </c>
      <c r="AO32" s="172">
        <f>AN32-($J$63*G32)</f>
        <v>35226.416311688306</v>
      </c>
      <c r="AP32" s="243">
        <f t="shared" si="15"/>
        <v>51348.559168831162</v>
      </c>
      <c r="AQ32" s="243">
        <f>AP32-($J$63*G32)</f>
        <v>35226.416311688306</v>
      </c>
    </row>
    <row r="33" spans="1:43" x14ac:dyDescent="0.25">
      <c r="A33" s="230"/>
      <c r="B33" s="266"/>
      <c r="C33" s="266"/>
      <c r="D33" s="266"/>
      <c r="E33" s="266"/>
      <c r="F33" s="268" t="s">
        <v>478</v>
      </c>
      <c r="G33" s="269">
        <v>4</v>
      </c>
      <c r="H33" s="266"/>
      <c r="I33" s="237"/>
      <c r="J33" s="234"/>
      <c r="K33" s="234"/>
      <c r="L33" s="271"/>
      <c r="M33" s="271"/>
      <c r="N33" s="271"/>
      <c r="O33" s="271"/>
      <c r="P33" s="293"/>
      <c r="Q33" s="271"/>
      <c r="R33" s="236"/>
      <c r="S33" s="236"/>
      <c r="T33" s="237"/>
      <c r="U33" s="238"/>
      <c r="V33" s="236"/>
      <c r="W33" s="236"/>
      <c r="X33" s="236"/>
      <c r="Y33" s="236"/>
      <c r="Z33" s="236"/>
      <c r="AA33" s="234"/>
      <c r="AB33" s="231"/>
      <c r="AC33" s="231"/>
      <c r="AD33" s="231"/>
      <c r="AE33" s="236"/>
      <c r="AF33" s="236"/>
      <c r="AG33" s="239"/>
      <c r="AH33" s="240"/>
      <c r="AI33" s="241"/>
      <c r="AJ33" s="241"/>
      <c r="AK33" s="239"/>
      <c r="AL33" s="239"/>
      <c r="AM33" s="239"/>
      <c r="AN33" s="242"/>
      <c r="AO33" s="172">
        <f>AN33-($J$63*G33)</f>
        <v>-8061.0714285714284</v>
      </c>
      <c r="AP33" s="243"/>
      <c r="AQ33" s="243">
        <f>AP33-($J$63*G33)</f>
        <v>-8061.0714285714284</v>
      </c>
    </row>
    <row r="34" spans="1:43" x14ac:dyDescent="0.25">
      <c r="A34" s="230"/>
      <c r="B34" s="266"/>
      <c r="C34" s="266"/>
      <c r="D34" s="266"/>
      <c r="E34" s="266"/>
      <c r="F34" s="273" t="s">
        <v>479</v>
      </c>
      <c r="G34" s="274"/>
      <c r="H34" s="275">
        <f>SUM(G31:G33)</f>
        <v>17</v>
      </c>
      <c r="I34" s="291">
        <f>H34/(($J$8-$J$9)/$J$10)</f>
        <v>0.89047619047619053</v>
      </c>
      <c r="J34" s="234"/>
      <c r="K34" s="234"/>
      <c r="L34" s="231"/>
      <c r="M34" s="231"/>
      <c r="N34" s="231"/>
      <c r="O34" s="231"/>
      <c r="P34" s="231"/>
      <c r="Q34" s="231"/>
      <c r="R34" s="236"/>
      <c r="S34" s="236"/>
      <c r="T34" s="237"/>
      <c r="U34" s="238"/>
      <c r="V34" s="236"/>
      <c r="W34" s="236"/>
      <c r="X34" s="236"/>
      <c r="Y34" s="236"/>
      <c r="Z34" s="236"/>
      <c r="AA34" s="234"/>
      <c r="AB34" s="231"/>
      <c r="AC34" s="231"/>
      <c r="AD34" s="231"/>
      <c r="AE34" s="236"/>
      <c r="AF34" s="236"/>
      <c r="AG34" s="239"/>
      <c r="AH34" s="240"/>
      <c r="AI34" s="241"/>
      <c r="AJ34" s="241"/>
      <c r="AK34" s="239"/>
      <c r="AL34" s="239"/>
      <c r="AM34" s="239"/>
      <c r="AN34" s="242"/>
      <c r="AO34" s="172"/>
      <c r="AP34" s="243"/>
      <c r="AQ34" s="243"/>
    </row>
    <row r="35" spans="1:43" x14ac:dyDescent="0.25">
      <c r="A35" s="248">
        <v>42675</v>
      </c>
      <c r="B35" s="249" t="s">
        <v>387</v>
      </c>
      <c r="C35" s="249" t="s">
        <v>499</v>
      </c>
      <c r="D35" s="249" t="s">
        <v>500</v>
      </c>
      <c r="E35" s="249" t="s">
        <v>501</v>
      </c>
      <c r="F35" s="260">
        <v>42689</v>
      </c>
      <c r="G35" s="252">
        <v>12</v>
      </c>
      <c r="H35" s="249"/>
      <c r="I35" s="249"/>
      <c r="J35" s="254">
        <v>24000</v>
      </c>
      <c r="K35" s="279">
        <v>5711.97</v>
      </c>
      <c r="L35" s="253">
        <v>513</v>
      </c>
      <c r="M35" s="253">
        <v>10</v>
      </c>
      <c r="N35" s="253">
        <v>1026</v>
      </c>
      <c r="O35" s="253">
        <v>4104</v>
      </c>
      <c r="P35" s="294">
        <f>'[1]Hells Glen'!G26</f>
        <v>59268.571428571428</v>
      </c>
      <c r="Q35" s="253">
        <f>'[1]Hells Glen'!G32</f>
        <v>9476</v>
      </c>
      <c r="R35" s="255">
        <f t="shared" si="0"/>
        <v>5725.08</v>
      </c>
      <c r="S35" s="255">
        <f t="shared" si="1"/>
        <v>32011.200000000001</v>
      </c>
      <c r="T35" s="256">
        <f>M35/$T$1</f>
        <v>0.18181818181818182</v>
      </c>
      <c r="U35" s="255">
        <f t="shared" ref="U35" si="23">IF(L35=0,0,T35*$T$3)</f>
        <v>90.909090909090907</v>
      </c>
      <c r="V35" s="255">
        <f t="shared" si="3"/>
        <v>93.27272727272728</v>
      </c>
      <c r="W35" s="255">
        <f t="shared" si="4"/>
        <v>373.09090909090912</v>
      </c>
      <c r="X35" s="255">
        <f t="shared" si="5"/>
        <v>1039.9909090909091</v>
      </c>
      <c r="Y35" s="255">
        <f t="shared" si="6"/>
        <v>5820.2181818181825</v>
      </c>
      <c r="Z35" s="255">
        <f t="shared" si="7"/>
        <v>6860.2090909090912</v>
      </c>
      <c r="AA35" s="254">
        <f t="shared" si="8"/>
        <v>113431.9696103896</v>
      </c>
      <c r="AB35" s="253">
        <v>513</v>
      </c>
      <c r="AC35" s="253">
        <v>4</v>
      </c>
      <c r="AD35" s="253">
        <f t="shared" si="17"/>
        <v>2052</v>
      </c>
      <c r="AE35" s="255">
        <f t="shared" si="16"/>
        <v>5719.95</v>
      </c>
      <c r="AF35" s="255">
        <f t="shared" si="9"/>
        <v>32011.200000000001</v>
      </c>
      <c r="AG35" s="257">
        <f t="shared" si="18"/>
        <v>37731.15</v>
      </c>
      <c r="AH35" s="258">
        <f>$AE$6</f>
        <v>0.05</v>
      </c>
      <c r="AI35" s="259">
        <f t="shared" si="10"/>
        <v>25.650000000000002</v>
      </c>
      <c r="AJ35" s="259">
        <f t="shared" si="11"/>
        <v>102.60000000000001</v>
      </c>
      <c r="AK35" s="257">
        <f t="shared" si="19"/>
        <v>1886.5575000000001</v>
      </c>
      <c r="AL35" s="257">
        <f t="shared" si="12"/>
        <v>285.9975</v>
      </c>
      <c r="AM35" s="257">
        <f t="shared" si="13"/>
        <v>1600.5600000000002</v>
      </c>
      <c r="AN35" s="242">
        <f t="shared" si="14"/>
        <v>151163.11961038961</v>
      </c>
      <c r="AO35" s="172">
        <f>AN35-($J$63*G35)</f>
        <v>126979.90532467532</v>
      </c>
      <c r="AP35" s="243">
        <f t="shared" si="15"/>
        <v>115318.52711038959</v>
      </c>
      <c r="AQ35" s="243">
        <f>AP35-($J$63*G35)</f>
        <v>91135.312824675304</v>
      </c>
    </row>
    <row r="36" spans="1:43" x14ac:dyDescent="0.25">
      <c r="A36" s="248"/>
      <c r="B36" s="249"/>
      <c r="C36" s="249"/>
      <c r="D36" s="249"/>
      <c r="E36" s="249"/>
      <c r="F36" s="260" t="s">
        <v>478</v>
      </c>
      <c r="G36" s="252">
        <v>5</v>
      </c>
      <c r="H36" s="249"/>
      <c r="I36" s="249"/>
      <c r="J36" s="254"/>
      <c r="K36" s="254"/>
      <c r="L36" s="253"/>
      <c r="M36" s="253"/>
      <c r="N36" s="253"/>
      <c r="O36" s="253"/>
      <c r="P36" s="253"/>
      <c r="Q36" s="253"/>
      <c r="R36" s="255"/>
      <c r="S36" s="255"/>
      <c r="T36" s="256"/>
      <c r="U36" s="261"/>
      <c r="V36" s="255"/>
      <c r="W36" s="255"/>
      <c r="X36" s="255"/>
      <c r="Y36" s="255"/>
      <c r="Z36" s="255"/>
      <c r="AA36" s="254"/>
      <c r="AB36" s="253"/>
      <c r="AC36" s="253"/>
      <c r="AD36" s="253"/>
      <c r="AE36" s="255"/>
      <c r="AF36" s="255"/>
      <c r="AG36" s="257"/>
      <c r="AH36" s="258"/>
      <c r="AI36" s="259"/>
      <c r="AJ36" s="259"/>
      <c r="AK36" s="257"/>
      <c r="AL36" s="257"/>
      <c r="AM36" s="257"/>
      <c r="AN36" s="242"/>
      <c r="AO36" s="172">
        <f>AN36-($J$63*G36)</f>
        <v>-10076.339285714286</v>
      </c>
      <c r="AP36" s="243"/>
      <c r="AQ36" s="243">
        <f>AP36-($J$63*G36)</f>
        <v>-10076.339285714286</v>
      </c>
    </row>
    <row r="37" spans="1:43" x14ac:dyDescent="0.25">
      <c r="A37" s="248"/>
      <c r="B37" s="250"/>
      <c r="C37" s="250"/>
      <c r="D37" s="250"/>
      <c r="E37" s="250"/>
      <c r="F37" s="262" t="s">
        <v>479</v>
      </c>
      <c r="G37" s="263"/>
      <c r="H37" s="264">
        <f>SUM(G35:G36)</f>
        <v>17</v>
      </c>
      <c r="I37" s="292">
        <f>H37/(($J$8-$J$9)/$J$10)</f>
        <v>0.89047619047619053</v>
      </c>
      <c r="J37" s="254"/>
      <c r="K37" s="254"/>
      <c r="L37" s="253"/>
      <c r="M37" s="253"/>
      <c r="N37" s="253"/>
      <c r="O37" s="253"/>
      <c r="P37" s="253"/>
      <c r="Q37" s="253"/>
      <c r="R37" s="255"/>
      <c r="S37" s="255"/>
      <c r="T37" s="256"/>
      <c r="U37" s="261"/>
      <c r="V37" s="255"/>
      <c r="W37" s="255"/>
      <c r="X37" s="255"/>
      <c r="Y37" s="255"/>
      <c r="Z37" s="255"/>
      <c r="AA37" s="254">
        <f t="shared" si="8"/>
        <v>0</v>
      </c>
      <c r="AB37" s="253"/>
      <c r="AC37" s="253"/>
      <c r="AD37" s="253"/>
      <c r="AE37" s="255"/>
      <c r="AF37" s="255"/>
      <c r="AG37" s="257"/>
      <c r="AH37" s="258"/>
      <c r="AI37" s="259"/>
      <c r="AJ37" s="259"/>
      <c r="AK37" s="257"/>
      <c r="AL37" s="257"/>
      <c r="AM37" s="257"/>
      <c r="AN37" s="242"/>
      <c r="AO37" s="172"/>
      <c r="AP37" s="243"/>
      <c r="AQ37" s="243"/>
    </row>
    <row r="38" spans="1:43" x14ac:dyDescent="0.25">
      <c r="A38" s="230">
        <v>42705</v>
      </c>
      <c r="B38" s="266" t="s">
        <v>486</v>
      </c>
      <c r="C38" s="266" t="s">
        <v>502</v>
      </c>
      <c r="D38" s="231" t="s">
        <v>503</v>
      </c>
      <c r="E38" s="231" t="s">
        <v>504</v>
      </c>
      <c r="F38" s="295">
        <v>42725</v>
      </c>
      <c r="G38" s="233">
        <v>8</v>
      </c>
      <c r="H38" s="296"/>
      <c r="I38" s="296"/>
      <c r="J38" s="234">
        <v>24000</v>
      </c>
      <c r="K38" s="234">
        <v>6101.89</v>
      </c>
      <c r="L38" s="231">
        <v>6</v>
      </c>
      <c r="M38" s="231">
        <v>14</v>
      </c>
      <c r="N38" s="231">
        <v>12</v>
      </c>
      <c r="O38" s="231">
        <v>96</v>
      </c>
      <c r="P38" s="235">
        <f>[1]Ardoch!G26</f>
        <v>21036.909714285714</v>
      </c>
      <c r="Q38" s="231">
        <f>[1]Ardoch!G32</f>
        <v>5120</v>
      </c>
      <c r="R38" s="236">
        <f t="shared" si="0"/>
        <v>66.960000000000008</v>
      </c>
      <c r="S38" s="236">
        <f t="shared" si="1"/>
        <v>748.8</v>
      </c>
      <c r="T38" s="237">
        <f t="shared" si="2"/>
        <v>0.25454545454545452</v>
      </c>
      <c r="U38" s="238">
        <f t="shared" ref="U38" si="24">IF(L38=0,0,T38*$T$3)</f>
        <v>127.27272727272727</v>
      </c>
      <c r="V38" s="236">
        <f t="shared" si="3"/>
        <v>1.5272727272727271</v>
      </c>
      <c r="W38" s="236">
        <f t="shared" si="4"/>
        <v>6.1090909090909085</v>
      </c>
      <c r="X38" s="236">
        <f t="shared" si="5"/>
        <v>17.029090909090908</v>
      </c>
      <c r="Y38" s="236">
        <f t="shared" si="6"/>
        <v>95.301818181818163</v>
      </c>
      <c r="Z38" s="236">
        <f t="shared" si="7"/>
        <v>112.33090909090907</v>
      </c>
      <c r="AA38" s="234">
        <f t="shared" si="8"/>
        <v>27212.27335064935</v>
      </c>
      <c r="AB38" s="231">
        <v>0</v>
      </c>
      <c r="AC38" s="231">
        <v>0</v>
      </c>
      <c r="AD38" s="231">
        <f t="shared" si="17"/>
        <v>0</v>
      </c>
      <c r="AE38" s="236">
        <f t="shared" si="16"/>
        <v>0</v>
      </c>
      <c r="AF38" s="236">
        <f t="shared" si="9"/>
        <v>0</v>
      </c>
      <c r="AG38" s="239">
        <f t="shared" si="18"/>
        <v>0</v>
      </c>
      <c r="AH38" s="240">
        <f>$AE$6</f>
        <v>0.05</v>
      </c>
      <c r="AI38" s="241">
        <f t="shared" si="10"/>
        <v>0</v>
      </c>
      <c r="AJ38" s="241">
        <f t="shared" si="11"/>
        <v>0</v>
      </c>
      <c r="AK38" s="239">
        <f t="shared" si="19"/>
        <v>0</v>
      </c>
      <c r="AL38" s="239">
        <f t="shared" si="12"/>
        <v>0</v>
      </c>
      <c r="AM38" s="239">
        <f t="shared" si="13"/>
        <v>0</v>
      </c>
      <c r="AN38" s="242">
        <f t="shared" si="14"/>
        <v>27212.27335064935</v>
      </c>
      <c r="AO38" s="172">
        <f t="shared" ref="AO38:AO57" si="25">AN38-($J$63*G38)</f>
        <v>11090.130493506493</v>
      </c>
      <c r="AP38" s="243">
        <f t="shared" si="15"/>
        <v>27212.27335064935</v>
      </c>
      <c r="AQ38" s="243">
        <f t="shared" ref="AQ38:AQ49" si="26">AP38-($J$63*G38)</f>
        <v>11090.130493506493</v>
      </c>
    </row>
    <row r="39" spans="1:43" x14ac:dyDescent="0.25">
      <c r="A39" s="230"/>
      <c r="B39" s="266"/>
      <c r="C39" s="266"/>
      <c r="D39" s="231"/>
      <c r="E39" s="231"/>
      <c r="F39" s="231" t="s">
        <v>478</v>
      </c>
      <c r="G39" s="233">
        <v>5</v>
      </c>
      <c r="H39" s="296"/>
      <c r="I39" s="296"/>
      <c r="J39" s="234"/>
      <c r="K39" s="234"/>
      <c r="L39" s="231"/>
      <c r="M39" s="231"/>
      <c r="N39" s="231"/>
      <c r="O39" s="231"/>
      <c r="P39" s="231"/>
      <c r="Q39" s="231"/>
      <c r="R39" s="236"/>
      <c r="S39" s="236"/>
      <c r="T39" s="237"/>
      <c r="U39" s="238"/>
      <c r="V39" s="236"/>
      <c r="W39" s="236"/>
      <c r="X39" s="236"/>
      <c r="Y39" s="236"/>
      <c r="Z39" s="236"/>
      <c r="AA39" s="234"/>
      <c r="AB39" s="231"/>
      <c r="AC39" s="231"/>
      <c r="AD39" s="231"/>
      <c r="AE39" s="236"/>
      <c r="AF39" s="236"/>
      <c r="AG39" s="239"/>
      <c r="AH39" s="240"/>
      <c r="AI39" s="241"/>
      <c r="AJ39" s="241"/>
      <c r="AK39" s="239"/>
      <c r="AL39" s="239"/>
      <c r="AM39" s="239"/>
      <c r="AN39" s="242">
        <f t="shared" si="14"/>
        <v>0</v>
      </c>
      <c r="AO39" s="172">
        <f t="shared" si="25"/>
        <v>-10076.339285714286</v>
      </c>
      <c r="AP39" s="243">
        <f t="shared" si="15"/>
        <v>0</v>
      </c>
      <c r="AQ39" s="243">
        <f t="shared" si="26"/>
        <v>-10076.339285714286</v>
      </c>
    </row>
    <row r="40" spans="1:43" x14ac:dyDescent="0.25">
      <c r="A40" s="230"/>
      <c r="B40" s="266"/>
      <c r="C40" s="266"/>
      <c r="D40" s="231"/>
      <c r="E40" s="231"/>
      <c r="F40" s="231"/>
      <c r="G40" s="233"/>
      <c r="H40" s="296"/>
      <c r="I40" s="296"/>
      <c r="J40" s="234"/>
      <c r="K40" s="234"/>
      <c r="L40" s="231"/>
      <c r="M40" s="231"/>
      <c r="N40" s="231"/>
      <c r="O40" s="231"/>
      <c r="P40" s="231"/>
      <c r="Q40" s="231"/>
      <c r="R40" s="236"/>
      <c r="S40" s="236"/>
      <c r="T40" s="237"/>
      <c r="U40" s="238"/>
      <c r="V40" s="236"/>
      <c r="W40" s="236"/>
      <c r="X40" s="236"/>
      <c r="Y40" s="236"/>
      <c r="Z40" s="236"/>
      <c r="AA40" s="234"/>
      <c r="AB40" s="231"/>
      <c r="AC40" s="231"/>
      <c r="AD40" s="231"/>
      <c r="AE40" s="236"/>
      <c r="AF40" s="236"/>
      <c r="AG40" s="239"/>
      <c r="AH40" s="240"/>
      <c r="AI40" s="241"/>
      <c r="AJ40" s="241"/>
      <c r="AK40" s="239"/>
      <c r="AL40" s="239"/>
      <c r="AM40" s="239"/>
      <c r="AN40" s="242">
        <f t="shared" si="14"/>
        <v>0</v>
      </c>
      <c r="AO40" s="172">
        <f t="shared" si="25"/>
        <v>0</v>
      </c>
      <c r="AP40" s="243">
        <f t="shared" si="15"/>
        <v>0</v>
      </c>
      <c r="AQ40" s="243">
        <f t="shared" si="26"/>
        <v>0</v>
      </c>
    </row>
    <row r="41" spans="1:43" x14ac:dyDescent="0.25">
      <c r="A41" s="230"/>
      <c r="B41" s="267"/>
      <c r="C41" s="267"/>
      <c r="D41" s="231"/>
      <c r="E41" s="231"/>
      <c r="F41" s="231"/>
      <c r="G41" s="233"/>
      <c r="H41" s="275">
        <f>G38+G39</f>
        <v>13</v>
      </c>
      <c r="I41" s="291">
        <f>H41/(($J$8-$J$9)/$J$10)</f>
        <v>0.68095238095238098</v>
      </c>
      <c r="J41" s="272"/>
      <c r="K41" s="234"/>
      <c r="L41" s="231"/>
      <c r="M41" s="231"/>
      <c r="N41" s="231"/>
      <c r="O41" s="231"/>
      <c r="P41" s="231"/>
      <c r="Q41" s="231"/>
      <c r="R41" s="236">
        <f t="shared" si="0"/>
        <v>0</v>
      </c>
      <c r="S41" s="236">
        <f t="shared" si="1"/>
        <v>0</v>
      </c>
      <c r="T41" s="237">
        <f t="shared" si="2"/>
        <v>0</v>
      </c>
      <c r="U41" s="238">
        <f t="shared" ref="U41:U43" si="27">IF(L41=0,0,T41*$T$3)</f>
        <v>0</v>
      </c>
      <c r="V41" s="236">
        <f t="shared" si="3"/>
        <v>0</v>
      </c>
      <c r="W41" s="236">
        <f t="shared" si="4"/>
        <v>0</v>
      </c>
      <c r="X41" s="236">
        <f t="shared" si="5"/>
        <v>0</v>
      </c>
      <c r="Y41" s="236">
        <f t="shared" si="6"/>
        <v>0</v>
      </c>
      <c r="Z41" s="236">
        <f t="shared" si="7"/>
        <v>0</v>
      </c>
      <c r="AA41" s="234">
        <f t="shared" si="8"/>
        <v>0</v>
      </c>
      <c r="AB41" s="231"/>
      <c r="AC41" s="231"/>
      <c r="AD41" s="231"/>
      <c r="AE41" s="236"/>
      <c r="AF41" s="236">
        <f t="shared" si="9"/>
        <v>0</v>
      </c>
      <c r="AG41" s="239"/>
      <c r="AH41" s="240">
        <f>$AE$6</f>
        <v>0.05</v>
      </c>
      <c r="AI41" s="241">
        <f t="shared" si="10"/>
        <v>0</v>
      </c>
      <c r="AJ41" s="241">
        <f t="shared" si="11"/>
        <v>0</v>
      </c>
      <c r="AK41" s="239"/>
      <c r="AL41" s="239">
        <f t="shared" si="12"/>
        <v>0</v>
      </c>
      <c r="AM41" s="239">
        <f t="shared" si="13"/>
        <v>0</v>
      </c>
      <c r="AN41" s="242">
        <f t="shared" si="14"/>
        <v>0</v>
      </c>
      <c r="AO41" s="172">
        <f t="shared" si="25"/>
        <v>0</v>
      </c>
      <c r="AP41" s="243">
        <f t="shared" si="15"/>
        <v>0</v>
      </c>
      <c r="AQ41" s="243">
        <f t="shared" si="26"/>
        <v>0</v>
      </c>
    </row>
    <row r="42" spans="1:43" x14ac:dyDescent="0.25">
      <c r="A42" s="248">
        <v>42736</v>
      </c>
      <c r="B42" s="253" t="s">
        <v>387</v>
      </c>
      <c r="C42" s="253" t="s">
        <v>505</v>
      </c>
      <c r="D42" s="253" t="s">
        <v>506</v>
      </c>
      <c r="E42" s="253" t="s">
        <v>477</v>
      </c>
      <c r="F42" s="297">
        <v>42742</v>
      </c>
      <c r="G42" s="298">
        <v>4</v>
      </c>
      <c r="H42" s="253"/>
      <c r="I42" s="253"/>
      <c r="J42" s="254">
        <v>24000</v>
      </c>
      <c r="K42" s="279">
        <v>8259.19</v>
      </c>
      <c r="L42" s="253">
        <v>245</v>
      </c>
      <c r="M42" s="253">
        <v>12</v>
      </c>
      <c r="N42" s="253">
        <v>490</v>
      </c>
      <c r="O42" s="253">
        <v>1960</v>
      </c>
      <c r="P42" s="294">
        <f>[1]Littleport!G26</f>
        <v>14099.428571428572</v>
      </c>
      <c r="Q42" s="253">
        <f>[1]Littleport!G32</f>
        <v>7088</v>
      </c>
      <c r="R42" s="255">
        <f t="shared" si="0"/>
        <v>2734.2</v>
      </c>
      <c r="S42" s="255">
        <f t="shared" si="1"/>
        <v>15288</v>
      </c>
      <c r="T42" s="256">
        <f t="shared" si="2"/>
        <v>0.21818181818181817</v>
      </c>
      <c r="U42" s="255">
        <f t="shared" si="27"/>
        <v>109.09090909090908</v>
      </c>
      <c r="V42" s="255">
        <f t="shared" si="3"/>
        <v>53.454545454545453</v>
      </c>
      <c r="W42" s="255">
        <f t="shared" si="4"/>
        <v>213.81818181818181</v>
      </c>
      <c r="X42" s="255">
        <f t="shared" si="5"/>
        <v>596.0181818181818</v>
      </c>
      <c r="Y42" s="255">
        <f t="shared" si="6"/>
        <v>3335.5636363636363</v>
      </c>
      <c r="Z42" s="255">
        <f t="shared" si="7"/>
        <v>3931.5818181818181</v>
      </c>
      <c r="AA42" s="254">
        <f t="shared" si="8"/>
        <v>43250.301298701306</v>
      </c>
      <c r="AB42" s="253">
        <v>845</v>
      </c>
      <c r="AC42" s="253">
        <v>6</v>
      </c>
      <c r="AD42" s="253">
        <f t="shared" si="17"/>
        <v>5070</v>
      </c>
      <c r="AE42" s="255">
        <f t="shared" si="16"/>
        <v>9421.75</v>
      </c>
      <c r="AF42" s="255">
        <f t="shared" si="9"/>
        <v>79092</v>
      </c>
      <c r="AG42" s="257">
        <f t="shared" si="18"/>
        <v>88513.75</v>
      </c>
      <c r="AH42" s="258">
        <f>$AE$6</f>
        <v>0.05</v>
      </c>
      <c r="AI42" s="259">
        <f t="shared" si="10"/>
        <v>42.25</v>
      </c>
      <c r="AJ42" s="259">
        <f t="shared" si="11"/>
        <v>253.5</v>
      </c>
      <c r="AK42" s="257">
        <f t="shared" si="19"/>
        <v>4425.6875</v>
      </c>
      <c r="AL42" s="257">
        <f t="shared" si="12"/>
        <v>471.08750000000003</v>
      </c>
      <c r="AM42" s="257">
        <f t="shared" si="13"/>
        <v>3954.6000000000004</v>
      </c>
      <c r="AN42" s="242">
        <f t="shared" si="14"/>
        <v>131764.05129870132</v>
      </c>
      <c r="AO42" s="172">
        <f t="shared" si="25"/>
        <v>123702.97987012989</v>
      </c>
      <c r="AP42" s="243">
        <f t="shared" si="15"/>
        <v>47675.988798701306</v>
      </c>
      <c r="AQ42" s="243">
        <f t="shared" si="26"/>
        <v>39614.917370129879</v>
      </c>
    </row>
    <row r="43" spans="1:43" x14ac:dyDescent="0.25">
      <c r="A43" s="248"/>
      <c r="B43" s="253" t="s">
        <v>486</v>
      </c>
      <c r="C43" s="253" t="s">
        <v>507</v>
      </c>
      <c r="D43" s="253" t="s">
        <v>508</v>
      </c>
      <c r="E43" s="253" t="s">
        <v>405</v>
      </c>
      <c r="F43" s="297">
        <v>42762</v>
      </c>
      <c r="G43" s="298">
        <v>17</v>
      </c>
      <c r="H43" s="253"/>
      <c r="I43" s="253"/>
      <c r="J43" s="254"/>
      <c r="K43" s="254"/>
      <c r="L43" s="253">
        <v>645</v>
      </c>
      <c r="M43" s="253">
        <v>14</v>
      </c>
      <c r="N43" s="253">
        <v>1290</v>
      </c>
      <c r="O43" s="253">
        <v>5160</v>
      </c>
      <c r="P43" s="253">
        <f>[1]Tiroran!G26</f>
        <v>85888</v>
      </c>
      <c r="Q43" s="253">
        <f>[1]Tiroran!G32</f>
        <v>17104</v>
      </c>
      <c r="R43" s="255">
        <f>N43*$P$3</f>
        <v>7198.2</v>
      </c>
      <c r="S43" s="255">
        <f t="shared" si="1"/>
        <v>40248</v>
      </c>
      <c r="T43" s="256">
        <f t="shared" si="2"/>
        <v>0.25454545454545452</v>
      </c>
      <c r="U43" s="255">
        <f t="shared" si="27"/>
        <v>127.27272727272727</v>
      </c>
      <c r="V43" s="255">
        <f t="shared" si="3"/>
        <v>164.18181818181816</v>
      </c>
      <c r="W43" s="255">
        <f t="shared" si="4"/>
        <v>656.72727272727263</v>
      </c>
      <c r="X43" s="255">
        <f t="shared" si="5"/>
        <v>1830.6272727272726</v>
      </c>
      <c r="Y43" s="255">
        <f t="shared" si="6"/>
        <v>10244.945454545454</v>
      </c>
      <c r="Z43" s="255">
        <f t="shared" si="7"/>
        <v>12075.572727272727</v>
      </c>
      <c r="AA43" s="254">
        <f t="shared" si="8"/>
        <v>162641.04545454547</v>
      </c>
      <c r="AB43" s="253">
        <v>645</v>
      </c>
      <c r="AC43" s="253">
        <v>6</v>
      </c>
      <c r="AD43" s="253">
        <f t="shared" si="17"/>
        <v>3870</v>
      </c>
      <c r="AE43" s="255">
        <f t="shared" si="16"/>
        <v>7191.75</v>
      </c>
      <c r="AF43" s="255">
        <f t="shared" si="9"/>
        <v>60372</v>
      </c>
      <c r="AG43" s="257">
        <f t="shared" si="18"/>
        <v>67563.75</v>
      </c>
      <c r="AH43" s="258">
        <f>$AE$6</f>
        <v>0.05</v>
      </c>
      <c r="AI43" s="259">
        <f t="shared" si="10"/>
        <v>32.25</v>
      </c>
      <c r="AJ43" s="259">
        <f t="shared" si="11"/>
        <v>193.5</v>
      </c>
      <c r="AK43" s="257">
        <f t="shared" si="19"/>
        <v>3378.1875</v>
      </c>
      <c r="AL43" s="257">
        <f t="shared" si="12"/>
        <v>359.58750000000003</v>
      </c>
      <c r="AM43" s="257">
        <f t="shared" si="13"/>
        <v>3018.6000000000004</v>
      </c>
      <c r="AN43" s="242">
        <f t="shared" si="14"/>
        <v>230204.79545454547</v>
      </c>
      <c r="AO43" s="172">
        <f t="shared" si="25"/>
        <v>195945.24188311689</v>
      </c>
      <c r="AP43" s="243">
        <f t="shared" si="15"/>
        <v>166019.23295454547</v>
      </c>
      <c r="AQ43" s="243">
        <f t="shared" si="26"/>
        <v>131759.67938311689</v>
      </c>
    </row>
    <row r="44" spans="1:43" x14ac:dyDescent="0.25">
      <c r="A44" s="248"/>
      <c r="B44" s="253"/>
      <c r="C44" s="253"/>
      <c r="D44" s="253"/>
      <c r="E44" s="253"/>
      <c r="F44" s="253"/>
      <c r="G44" s="298"/>
      <c r="H44" s="253"/>
      <c r="I44" s="253"/>
      <c r="J44" s="254"/>
      <c r="K44" s="254"/>
      <c r="L44" s="253"/>
      <c r="M44" s="253"/>
      <c r="N44" s="253"/>
      <c r="O44" s="253"/>
      <c r="P44" s="253"/>
      <c r="Q44" s="253"/>
      <c r="R44" s="255"/>
      <c r="S44" s="255"/>
      <c r="T44" s="256"/>
      <c r="U44" s="255"/>
      <c r="V44" s="255"/>
      <c r="W44" s="255"/>
      <c r="X44" s="255"/>
      <c r="Y44" s="255"/>
      <c r="Z44" s="255"/>
      <c r="AA44" s="254"/>
      <c r="AB44" s="253"/>
      <c r="AC44" s="253"/>
      <c r="AD44" s="253"/>
      <c r="AE44" s="255"/>
      <c r="AF44" s="255"/>
      <c r="AG44" s="257"/>
      <c r="AH44" s="258"/>
      <c r="AI44" s="259"/>
      <c r="AJ44" s="259"/>
      <c r="AK44" s="257"/>
      <c r="AL44" s="257"/>
      <c r="AM44" s="257"/>
      <c r="AN44" s="242">
        <f t="shared" si="14"/>
        <v>0</v>
      </c>
      <c r="AO44" s="172">
        <f t="shared" si="25"/>
        <v>0</v>
      </c>
      <c r="AP44" s="243">
        <f t="shared" si="15"/>
        <v>0</v>
      </c>
      <c r="AQ44" s="243">
        <f t="shared" si="26"/>
        <v>0</v>
      </c>
    </row>
    <row r="45" spans="1:43" x14ac:dyDescent="0.25">
      <c r="A45" s="248"/>
      <c r="B45" s="253"/>
      <c r="C45" s="253"/>
      <c r="D45" s="253"/>
      <c r="E45" s="253"/>
      <c r="F45" s="253"/>
      <c r="G45" s="298"/>
      <c r="H45" s="264">
        <f>G42+G43</f>
        <v>21</v>
      </c>
      <c r="I45" s="292">
        <f>H45/(($J$8-$J$9)/$J$10)</f>
        <v>1.1000000000000001</v>
      </c>
      <c r="J45" s="286"/>
      <c r="K45" s="254"/>
      <c r="L45" s="253"/>
      <c r="M45" s="253"/>
      <c r="N45" s="253"/>
      <c r="O45" s="253"/>
      <c r="P45" s="253"/>
      <c r="Q45" s="253"/>
      <c r="R45" s="255">
        <f t="shared" si="0"/>
        <v>0</v>
      </c>
      <c r="S45" s="255">
        <f t="shared" si="1"/>
        <v>0</v>
      </c>
      <c r="T45" s="256">
        <f t="shared" si="2"/>
        <v>0</v>
      </c>
      <c r="U45" s="255">
        <f t="shared" ref="U45" si="28">IF(L45=0,0,T45*$T$3)</f>
        <v>0</v>
      </c>
      <c r="V45" s="255">
        <f t="shared" si="3"/>
        <v>0</v>
      </c>
      <c r="W45" s="255">
        <f t="shared" si="4"/>
        <v>0</v>
      </c>
      <c r="X45" s="255">
        <f t="shared" si="5"/>
        <v>0</v>
      </c>
      <c r="Y45" s="255">
        <f t="shared" si="6"/>
        <v>0</v>
      </c>
      <c r="Z45" s="255">
        <f t="shared" si="7"/>
        <v>0</v>
      </c>
      <c r="AA45" s="254">
        <f t="shared" si="8"/>
        <v>0</v>
      </c>
      <c r="AB45" s="253"/>
      <c r="AC45" s="253"/>
      <c r="AD45" s="253"/>
      <c r="AE45" s="255"/>
      <c r="AF45" s="255">
        <f t="shared" si="9"/>
        <v>0</v>
      </c>
      <c r="AG45" s="257"/>
      <c r="AH45" s="258">
        <f>$AE$6</f>
        <v>0.05</v>
      </c>
      <c r="AI45" s="259">
        <f t="shared" si="10"/>
        <v>0</v>
      </c>
      <c r="AJ45" s="259">
        <f t="shared" si="11"/>
        <v>0</v>
      </c>
      <c r="AK45" s="257"/>
      <c r="AL45" s="257">
        <f t="shared" si="12"/>
        <v>0</v>
      </c>
      <c r="AM45" s="257">
        <f t="shared" si="13"/>
        <v>0</v>
      </c>
      <c r="AN45" s="242">
        <f t="shared" si="14"/>
        <v>0</v>
      </c>
      <c r="AO45" s="172">
        <f t="shared" si="25"/>
        <v>0</v>
      </c>
      <c r="AP45" s="243">
        <f t="shared" si="15"/>
        <v>0</v>
      </c>
      <c r="AQ45" s="243">
        <f t="shared" si="26"/>
        <v>0</v>
      </c>
    </row>
    <row r="46" spans="1:43" x14ac:dyDescent="0.25">
      <c r="A46" s="230">
        <v>42767</v>
      </c>
      <c r="B46" s="231" t="s">
        <v>409</v>
      </c>
      <c r="C46" s="231" t="s">
        <v>509</v>
      </c>
      <c r="D46" s="231" t="s">
        <v>510</v>
      </c>
      <c r="E46" s="231" t="s">
        <v>396</v>
      </c>
      <c r="F46" s="232">
        <v>42789</v>
      </c>
      <c r="G46" s="233">
        <v>14</v>
      </c>
      <c r="H46" s="231"/>
      <c r="I46" s="231"/>
      <c r="J46" s="270">
        <v>24000</v>
      </c>
      <c r="K46" s="270">
        <v>13018.38</v>
      </c>
      <c r="L46" s="271">
        <v>927</v>
      </c>
      <c r="M46" s="271">
        <v>18</v>
      </c>
      <c r="N46" s="271">
        <v>0</v>
      </c>
      <c r="O46" s="271">
        <v>0</v>
      </c>
      <c r="P46" s="271">
        <f>[1]Dalchork!G26</f>
        <v>194420</v>
      </c>
      <c r="Q46" s="271">
        <f>[1]Dalchork!G32</f>
        <v>22992</v>
      </c>
      <c r="R46" s="238">
        <f t="shared" si="0"/>
        <v>0</v>
      </c>
      <c r="S46" s="238">
        <f t="shared" si="1"/>
        <v>0</v>
      </c>
      <c r="T46" s="287">
        <f t="shared" si="2"/>
        <v>0.32727272727272727</v>
      </c>
      <c r="U46" s="238">
        <f>IF(L46=0,0,T46*$T$3)</f>
        <v>163.63636363636363</v>
      </c>
      <c r="V46" s="238">
        <f t="shared" si="3"/>
        <v>303.38181818181818</v>
      </c>
      <c r="W46" s="238">
        <f t="shared" si="4"/>
        <v>1213.5272727272727</v>
      </c>
      <c r="X46" s="238">
        <f t="shared" si="5"/>
        <v>3382.707272727273</v>
      </c>
      <c r="Y46" s="238">
        <f t="shared" si="6"/>
        <v>18931.025454545455</v>
      </c>
      <c r="Z46" s="238">
        <f t="shared" si="7"/>
        <v>22313.732727272727</v>
      </c>
      <c r="AA46" s="270">
        <f t="shared" si="8"/>
        <v>239889.36909090908</v>
      </c>
      <c r="AB46" s="271">
        <v>927</v>
      </c>
      <c r="AC46" s="271">
        <v>8</v>
      </c>
      <c r="AD46" s="271">
        <f>AB46*AC46</f>
        <v>7416</v>
      </c>
      <c r="AE46" s="238">
        <f t="shared" si="16"/>
        <v>10336.050000000001</v>
      </c>
      <c r="AF46" s="238">
        <f t="shared" si="9"/>
        <v>115689.59999999999</v>
      </c>
      <c r="AG46" s="288">
        <f t="shared" si="18"/>
        <v>126025.65</v>
      </c>
      <c r="AH46" s="289">
        <f>$AE$6</f>
        <v>0.05</v>
      </c>
      <c r="AI46" s="290">
        <f t="shared" si="10"/>
        <v>46.35</v>
      </c>
      <c r="AJ46" s="290">
        <f t="shared" si="11"/>
        <v>370.8</v>
      </c>
      <c r="AK46" s="288">
        <f t="shared" si="19"/>
        <v>6301.2825000000003</v>
      </c>
      <c r="AL46" s="288">
        <f t="shared" si="12"/>
        <v>516.80250000000012</v>
      </c>
      <c r="AM46" s="288">
        <f t="shared" si="13"/>
        <v>5784.48</v>
      </c>
      <c r="AN46" s="242">
        <f t="shared" si="14"/>
        <v>365915.01909090905</v>
      </c>
      <c r="AO46" s="172">
        <f t="shared" si="25"/>
        <v>337701.26909090905</v>
      </c>
      <c r="AP46" s="243">
        <f t="shared" si="15"/>
        <v>246190.65159090908</v>
      </c>
      <c r="AQ46" s="243">
        <f t="shared" si="26"/>
        <v>217976.90159090908</v>
      </c>
    </row>
    <row r="47" spans="1:43" x14ac:dyDescent="0.25">
      <c r="A47" s="230"/>
      <c r="B47" s="231"/>
      <c r="C47" s="231"/>
      <c r="D47" s="231"/>
      <c r="E47" s="231"/>
      <c r="F47" s="231" t="s">
        <v>478</v>
      </c>
      <c r="G47" s="233">
        <v>3</v>
      </c>
      <c r="H47" s="231"/>
      <c r="I47" s="231"/>
      <c r="J47" s="234"/>
      <c r="K47" s="234"/>
      <c r="L47" s="231"/>
      <c r="M47" s="231"/>
      <c r="N47" s="231"/>
      <c r="O47" s="231"/>
      <c r="P47" s="231"/>
      <c r="Q47" s="231"/>
      <c r="R47" s="236"/>
      <c r="S47" s="236"/>
      <c r="T47" s="237"/>
      <c r="U47" s="238"/>
      <c r="V47" s="236"/>
      <c r="W47" s="236"/>
      <c r="X47" s="236"/>
      <c r="Y47" s="236"/>
      <c r="Z47" s="236"/>
      <c r="AA47" s="234"/>
      <c r="AB47" s="231"/>
      <c r="AC47" s="231"/>
      <c r="AD47" s="231"/>
      <c r="AE47" s="236"/>
      <c r="AF47" s="236"/>
      <c r="AG47" s="239"/>
      <c r="AH47" s="240">
        <f t="shared" ref="AH47:AH57" si="29">$AE$6</f>
        <v>0.05</v>
      </c>
      <c r="AI47" s="241"/>
      <c r="AJ47" s="241"/>
      <c r="AK47" s="239"/>
      <c r="AL47" s="239"/>
      <c r="AM47" s="239"/>
      <c r="AN47" s="242">
        <f t="shared" si="14"/>
        <v>0</v>
      </c>
      <c r="AO47" s="172">
        <f t="shared" si="25"/>
        <v>-6045.8035714285716</v>
      </c>
      <c r="AP47" s="243">
        <f t="shared" si="15"/>
        <v>0</v>
      </c>
      <c r="AQ47" s="243">
        <f t="shared" si="26"/>
        <v>-6045.8035714285716</v>
      </c>
    </row>
    <row r="48" spans="1:43" x14ac:dyDescent="0.25">
      <c r="A48" s="230"/>
      <c r="B48" s="231"/>
      <c r="C48" s="231"/>
      <c r="D48" s="231"/>
      <c r="E48" s="231"/>
      <c r="F48" s="231"/>
      <c r="G48" s="233"/>
      <c r="H48" s="231"/>
      <c r="I48" s="231"/>
      <c r="J48" s="234"/>
      <c r="K48" s="234"/>
      <c r="L48" s="231"/>
      <c r="M48" s="231"/>
      <c r="N48" s="231"/>
      <c r="O48" s="231"/>
      <c r="P48" s="231"/>
      <c r="Q48" s="231"/>
      <c r="R48" s="236"/>
      <c r="S48" s="236"/>
      <c r="T48" s="237"/>
      <c r="U48" s="238"/>
      <c r="V48" s="236"/>
      <c r="W48" s="236"/>
      <c r="X48" s="236"/>
      <c r="Y48" s="236"/>
      <c r="Z48" s="236"/>
      <c r="AA48" s="234"/>
      <c r="AB48" s="231"/>
      <c r="AC48" s="231"/>
      <c r="AD48" s="231"/>
      <c r="AE48" s="236"/>
      <c r="AF48" s="236"/>
      <c r="AG48" s="239"/>
      <c r="AH48" s="240">
        <f t="shared" si="29"/>
        <v>0.05</v>
      </c>
      <c r="AI48" s="241"/>
      <c r="AJ48" s="241"/>
      <c r="AK48" s="239"/>
      <c r="AL48" s="239"/>
      <c r="AM48" s="239"/>
      <c r="AN48" s="242">
        <f t="shared" si="14"/>
        <v>0</v>
      </c>
      <c r="AO48" s="172">
        <f t="shared" si="25"/>
        <v>0</v>
      </c>
      <c r="AP48" s="243">
        <f t="shared" si="15"/>
        <v>0</v>
      </c>
      <c r="AQ48" s="243">
        <f t="shared" si="26"/>
        <v>0</v>
      </c>
    </row>
    <row r="49" spans="1:43" x14ac:dyDescent="0.25">
      <c r="A49" s="230"/>
      <c r="B49" s="231"/>
      <c r="C49" s="231"/>
      <c r="D49" s="231"/>
      <c r="E49" s="231"/>
      <c r="F49" s="231"/>
      <c r="G49" s="233"/>
      <c r="H49" s="275">
        <f>G46+G47</f>
        <v>17</v>
      </c>
      <c r="I49" s="291">
        <f>H49/(($J$8-$J$9)/$J$10)</f>
        <v>0.89047619047619053</v>
      </c>
      <c r="J49" s="234"/>
      <c r="K49" s="234"/>
      <c r="L49" s="231"/>
      <c r="M49" s="231"/>
      <c r="N49" s="231"/>
      <c r="O49" s="231"/>
      <c r="P49" s="231"/>
      <c r="Q49" s="231"/>
      <c r="R49" s="236">
        <f t="shared" si="0"/>
        <v>0</v>
      </c>
      <c r="S49" s="236">
        <f t="shared" si="1"/>
        <v>0</v>
      </c>
      <c r="T49" s="237">
        <f t="shared" si="2"/>
        <v>0</v>
      </c>
      <c r="U49" s="238">
        <f t="shared" ref="U49:U51" si="30">IF(L49=0,0,T49*$T$3)</f>
        <v>0</v>
      </c>
      <c r="V49" s="236">
        <f t="shared" si="3"/>
        <v>0</v>
      </c>
      <c r="W49" s="236">
        <f t="shared" si="4"/>
        <v>0</v>
      </c>
      <c r="X49" s="236">
        <f t="shared" si="5"/>
        <v>0</v>
      </c>
      <c r="Y49" s="236">
        <f t="shared" si="6"/>
        <v>0</v>
      </c>
      <c r="Z49" s="236">
        <f t="shared" si="7"/>
        <v>0</v>
      </c>
      <c r="AA49" s="234">
        <f t="shared" si="8"/>
        <v>0</v>
      </c>
      <c r="AB49" s="231"/>
      <c r="AC49" s="231"/>
      <c r="AD49" s="231"/>
      <c r="AE49" s="236"/>
      <c r="AF49" s="236">
        <f t="shared" si="9"/>
        <v>0</v>
      </c>
      <c r="AG49" s="239"/>
      <c r="AH49" s="240">
        <f t="shared" si="29"/>
        <v>0.05</v>
      </c>
      <c r="AI49" s="241">
        <f t="shared" si="10"/>
        <v>0</v>
      </c>
      <c r="AJ49" s="241">
        <f t="shared" si="11"/>
        <v>0</v>
      </c>
      <c r="AK49" s="239"/>
      <c r="AL49" s="239">
        <f t="shared" si="12"/>
        <v>0</v>
      </c>
      <c r="AM49" s="239">
        <f t="shared" si="13"/>
        <v>0</v>
      </c>
      <c r="AN49" s="242">
        <f t="shared" si="14"/>
        <v>0</v>
      </c>
      <c r="AO49" s="172">
        <f t="shared" si="25"/>
        <v>0</v>
      </c>
      <c r="AP49" s="243">
        <f t="shared" si="15"/>
        <v>0</v>
      </c>
      <c r="AQ49" s="243">
        <f t="shared" si="26"/>
        <v>0</v>
      </c>
    </row>
    <row r="50" spans="1:43" x14ac:dyDescent="0.25">
      <c r="A50" s="248">
        <v>42795</v>
      </c>
      <c r="B50" s="253" t="s">
        <v>409</v>
      </c>
      <c r="C50" s="253" t="s">
        <v>511</v>
      </c>
      <c r="D50" s="253" t="s">
        <v>510</v>
      </c>
      <c r="E50" s="253" t="s">
        <v>498</v>
      </c>
      <c r="F50" s="299">
        <v>42804</v>
      </c>
      <c r="G50" s="298">
        <v>11</v>
      </c>
      <c r="H50" s="253"/>
      <c r="I50" s="253"/>
      <c r="J50" s="279">
        <v>24000</v>
      </c>
      <c r="K50" s="254"/>
      <c r="L50" s="253"/>
      <c r="M50" s="253"/>
      <c r="N50" s="253"/>
      <c r="O50" s="253"/>
      <c r="P50" s="253"/>
      <c r="Q50" s="253"/>
      <c r="R50" s="255">
        <f t="shared" si="0"/>
        <v>0</v>
      </c>
      <c r="S50" s="255">
        <f t="shared" si="1"/>
        <v>0</v>
      </c>
      <c r="T50" s="256">
        <f t="shared" si="2"/>
        <v>0</v>
      </c>
      <c r="U50" s="255">
        <f t="shared" si="30"/>
        <v>0</v>
      </c>
      <c r="V50" s="255">
        <f t="shared" si="3"/>
        <v>0</v>
      </c>
      <c r="W50" s="255">
        <f t="shared" si="4"/>
        <v>0</v>
      </c>
      <c r="X50" s="255">
        <f t="shared" si="5"/>
        <v>0</v>
      </c>
      <c r="Y50" s="255">
        <f t="shared" si="6"/>
        <v>0</v>
      </c>
      <c r="Z50" s="255">
        <f t="shared" si="7"/>
        <v>0</v>
      </c>
      <c r="AA50" s="254">
        <f t="shared" si="8"/>
        <v>0</v>
      </c>
      <c r="AB50" s="253"/>
      <c r="AC50" s="253"/>
      <c r="AD50" s="253">
        <f t="shared" si="17"/>
        <v>0</v>
      </c>
      <c r="AE50" s="255">
        <f t="shared" si="16"/>
        <v>0</v>
      </c>
      <c r="AF50" s="255">
        <f t="shared" si="9"/>
        <v>0</v>
      </c>
      <c r="AG50" s="257">
        <f t="shared" si="18"/>
        <v>0</v>
      </c>
      <c r="AH50" s="258">
        <f t="shared" si="29"/>
        <v>0.05</v>
      </c>
      <c r="AI50" s="259">
        <f t="shared" si="10"/>
        <v>0</v>
      </c>
      <c r="AJ50" s="259">
        <f t="shared" si="11"/>
        <v>0</v>
      </c>
      <c r="AK50" s="257">
        <f t="shared" si="19"/>
        <v>0</v>
      </c>
      <c r="AL50" s="257">
        <f t="shared" si="12"/>
        <v>0</v>
      </c>
      <c r="AM50" s="257">
        <f t="shared" si="13"/>
        <v>0</v>
      </c>
      <c r="AN50" s="242">
        <f t="shared" si="14"/>
        <v>0</v>
      </c>
      <c r="AO50" s="172">
        <f t="shared" si="25"/>
        <v>-22167.946428571428</v>
      </c>
      <c r="AP50" s="243">
        <f t="shared" si="15"/>
        <v>0</v>
      </c>
      <c r="AQ50" s="243">
        <f>AP50-($J$63*G50)</f>
        <v>-22167.946428571428</v>
      </c>
    </row>
    <row r="51" spans="1:43" x14ac:dyDescent="0.25">
      <c r="A51" s="248"/>
      <c r="B51" s="253"/>
      <c r="C51" s="253" t="s">
        <v>512</v>
      </c>
      <c r="D51" s="253" t="s">
        <v>513</v>
      </c>
      <c r="E51" s="253" t="s">
        <v>514</v>
      </c>
      <c r="F51" s="297">
        <v>42825</v>
      </c>
      <c r="G51" s="300">
        <v>5</v>
      </c>
      <c r="H51" s="253"/>
      <c r="I51" s="253"/>
      <c r="J51" s="254"/>
      <c r="K51" s="254"/>
      <c r="L51" s="253">
        <v>30</v>
      </c>
      <c r="M51" s="253">
        <v>5</v>
      </c>
      <c r="N51" s="253">
        <v>70</v>
      </c>
      <c r="O51" s="253">
        <v>140</v>
      </c>
      <c r="P51" s="253">
        <f>[1]Shinnach!G26</f>
        <v>36359</v>
      </c>
      <c r="Q51" s="253">
        <f>[1]Shinnach!G32</f>
        <v>3100</v>
      </c>
      <c r="R51" s="255">
        <f>N51*$P$3</f>
        <v>390.6</v>
      </c>
      <c r="S51" s="255">
        <f t="shared" si="1"/>
        <v>1092</v>
      </c>
      <c r="T51" s="256">
        <f t="shared" si="2"/>
        <v>9.0909090909090912E-2</v>
      </c>
      <c r="U51" s="255">
        <f t="shared" si="30"/>
        <v>45.454545454545453</v>
      </c>
      <c r="V51" s="255">
        <f t="shared" si="3"/>
        <v>2.7272727272727275</v>
      </c>
      <c r="W51" s="255">
        <f t="shared" si="4"/>
        <v>10.90909090909091</v>
      </c>
      <c r="X51" s="255">
        <f t="shared" si="5"/>
        <v>30.40909090909091</v>
      </c>
      <c r="Y51" s="255">
        <f t="shared" si="6"/>
        <v>170.18181818181819</v>
      </c>
      <c r="Z51" s="255">
        <f t="shared" si="7"/>
        <v>200.59090909090909</v>
      </c>
      <c r="AA51" s="254">
        <f t="shared" si="8"/>
        <v>41187.645454545454</v>
      </c>
      <c r="AB51" s="253">
        <v>35</v>
      </c>
      <c r="AC51" s="253">
        <v>2</v>
      </c>
      <c r="AD51" s="253">
        <f t="shared" si="17"/>
        <v>70</v>
      </c>
      <c r="AE51" s="255">
        <f t="shared" si="16"/>
        <v>390.25</v>
      </c>
      <c r="AF51" s="255">
        <f t="shared" si="9"/>
        <v>1092</v>
      </c>
      <c r="AG51" s="257">
        <f t="shared" si="18"/>
        <v>1482.25</v>
      </c>
      <c r="AH51" s="258">
        <f t="shared" si="29"/>
        <v>0.05</v>
      </c>
      <c r="AI51" s="259">
        <f t="shared" si="10"/>
        <v>1.75</v>
      </c>
      <c r="AJ51" s="259">
        <f t="shared" si="11"/>
        <v>3.5</v>
      </c>
      <c r="AK51" s="257">
        <f t="shared" si="19"/>
        <v>74.112499999999997</v>
      </c>
      <c r="AL51" s="257">
        <f t="shared" si="12"/>
        <v>19.512500000000003</v>
      </c>
      <c r="AM51" s="257">
        <f t="shared" si="13"/>
        <v>54.6</v>
      </c>
      <c r="AN51" s="242">
        <f t="shared" si="14"/>
        <v>42669.895454545454</v>
      </c>
      <c r="AO51" s="172">
        <f t="shared" si="25"/>
        <v>32593.556168831168</v>
      </c>
      <c r="AP51" s="243">
        <f t="shared" si="15"/>
        <v>41261.757954545457</v>
      </c>
      <c r="AQ51" s="243">
        <f>AP51-($J$63*G51)</f>
        <v>31185.418668831171</v>
      </c>
    </row>
    <row r="52" spans="1:43" x14ac:dyDescent="0.25">
      <c r="A52" s="248"/>
      <c r="B52" s="253"/>
      <c r="C52" s="253"/>
      <c r="D52" s="253"/>
      <c r="E52" s="253"/>
      <c r="F52" s="253"/>
      <c r="G52" s="298"/>
      <c r="H52" s="253"/>
      <c r="I52" s="253"/>
      <c r="J52" s="254"/>
      <c r="K52" s="254"/>
      <c r="L52" s="253"/>
      <c r="M52" s="253"/>
      <c r="N52" s="253"/>
      <c r="O52" s="253"/>
      <c r="P52" s="253"/>
      <c r="Q52" s="253"/>
      <c r="R52" s="255"/>
      <c r="S52" s="255"/>
      <c r="T52" s="256"/>
      <c r="U52" s="255"/>
      <c r="V52" s="255"/>
      <c r="W52" s="255"/>
      <c r="X52" s="255"/>
      <c r="Y52" s="255"/>
      <c r="Z52" s="255"/>
      <c r="AA52" s="254"/>
      <c r="AB52" s="253"/>
      <c r="AC52" s="253"/>
      <c r="AD52" s="253"/>
      <c r="AE52" s="255"/>
      <c r="AF52" s="255"/>
      <c r="AG52" s="257"/>
      <c r="AH52" s="258">
        <f t="shared" si="29"/>
        <v>0.05</v>
      </c>
      <c r="AI52" s="259"/>
      <c r="AJ52" s="259"/>
      <c r="AK52" s="257"/>
      <c r="AL52" s="257"/>
      <c r="AM52" s="257"/>
      <c r="AN52" s="242">
        <f t="shared" si="14"/>
        <v>0</v>
      </c>
      <c r="AO52" s="172">
        <f t="shared" si="25"/>
        <v>0</v>
      </c>
      <c r="AP52" s="243">
        <f t="shared" si="15"/>
        <v>0</v>
      </c>
      <c r="AQ52" s="243">
        <f>AP52-($J$63*G52)</f>
        <v>0</v>
      </c>
    </row>
    <row r="53" spans="1:43" x14ac:dyDescent="0.25">
      <c r="A53" s="253"/>
      <c r="B53" s="253"/>
      <c r="C53" s="253"/>
      <c r="D53" s="253"/>
      <c r="E53" s="253"/>
      <c r="F53" s="253"/>
      <c r="G53" s="298"/>
      <c r="H53" s="264">
        <f>G50+G51</f>
        <v>16</v>
      </c>
      <c r="I53" s="292">
        <f>H53/(($J$8-$J$9)/$J$10)</f>
        <v>0.83809523809523812</v>
      </c>
      <c r="J53" s="254"/>
      <c r="K53" s="254"/>
      <c r="L53" s="253"/>
      <c r="M53" s="253"/>
      <c r="N53" s="253"/>
      <c r="O53" s="253"/>
      <c r="P53" s="253"/>
      <c r="Q53" s="253"/>
      <c r="R53" s="255">
        <f t="shared" si="0"/>
        <v>0</v>
      </c>
      <c r="S53" s="255">
        <f t="shared" si="1"/>
        <v>0</v>
      </c>
      <c r="T53" s="256">
        <f t="shared" si="2"/>
        <v>0</v>
      </c>
      <c r="U53" s="255">
        <f t="shared" ref="U53" si="31">IF(L53=0,0,T53*$T$3)</f>
        <v>0</v>
      </c>
      <c r="V53" s="255">
        <f t="shared" si="3"/>
        <v>0</v>
      </c>
      <c r="W53" s="255">
        <f t="shared" si="4"/>
        <v>0</v>
      </c>
      <c r="X53" s="255">
        <f>T53*(L53*$AE$3)</f>
        <v>0</v>
      </c>
      <c r="Y53" s="255">
        <f t="shared" si="6"/>
        <v>0</v>
      </c>
      <c r="Z53" s="255">
        <f t="shared" si="7"/>
        <v>0</v>
      </c>
      <c r="AA53" s="254">
        <f t="shared" si="8"/>
        <v>0</v>
      </c>
      <c r="AB53" s="253"/>
      <c r="AC53" s="253"/>
      <c r="AD53" s="253">
        <f t="shared" si="17"/>
        <v>0</v>
      </c>
      <c r="AE53" s="255">
        <f t="shared" si="16"/>
        <v>0</v>
      </c>
      <c r="AF53" s="255">
        <f t="shared" si="9"/>
        <v>0</v>
      </c>
      <c r="AG53" s="257">
        <f t="shared" si="18"/>
        <v>0</v>
      </c>
      <c r="AH53" s="258">
        <f t="shared" si="29"/>
        <v>0.05</v>
      </c>
      <c r="AI53" s="259">
        <f t="shared" si="10"/>
        <v>0</v>
      </c>
      <c r="AJ53" s="259">
        <f t="shared" si="11"/>
        <v>0</v>
      </c>
      <c r="AK53" s="257">
        <f t="shared" si="19"/>
        <v>0</v>
      </c>
      <c r="AL53" s="257">
        <f t="shared" si="12"/>
        <v>0</v>
      </c>
      <c r="AM53" s="257">
        <f t="shared" si="13"/>
        <v>0</v>
      </c>
      <c r="AN53" s="242">
        <f t="shared" si="14"/>
        <v>0</v>
      </c>
      <c r="AO53" s="172">
        <f t="shared" si="25"/>
        <v>0</v>
      </c>
      <c r="AP53" s="243">
        <f t="shared" si="15"/>
        <v>0</v>
      </c>
      <c r="AQ53" s="243">
        <f t="shared" ref="AQ53:AQ57" si="32">AP53-($J$63*G53)</f>
        <v>0</v>
      </c>
    </row>
    <row r="54" spans="1:43" x14ac:dyDescent="0.25">
      <c r="J54" s="137"/>
      <c r="K54" s="137"/>
      <c r="R54" s="168"/>
      <c r="S54" s="168"/>
      <c r="T54" s="168"/>
      <c r="U54" s="168"/>
      <c r="V54" s="168"/>
      <c r="W54" s="168"/>
      <c r="X54" s="168"/>
      <c r="Y54" s="168"/>
      <c r="Z54" s="168"/>
      <c r="AA54" s="170">
        <f t="shared" ref="AA54:AA57" si="33">S54+R54+P54</f>
        <v>0</v>
      </c>
      <c r="AD54">
        <f t="shared" si="17"/>
        <v>0</v>
      </c>
      <c r="AE54" s="168">
        <f t="shared" si="16"/>
        <v>0</v>
      </c>
      <c r="AF54" s="301">
        <f t="shared" si="9"/>
        <v>0</v>
      </c>
      <c r="AG54" s="141">
        <f t="shared" si="18"/>
        <v>0</v>
      </c>
      <c r="AH54" s="302">
        <f t="shared" si="29"/>
        <v>0.05</v>
      </c>
      <c r="AI54" s="303">
        <f t="shared" si="10"/>
        <v>0</v>
      </c>
      <c r="AJ54" s="303">
        <f t="shared" si="11"/>
        <v>0</v>
      </c>
      <c r="AK54" s="141">
        <f t="shared" si="19"/>
        <v>0</v>
      </c>
      <c r="AL54" s="141">
        <f t="shared" si="12"/>
        <v>0</v>
      </c>
      <c r="AM54" s="141">
        <f t="shared" si="13"/>
        <v>0</v>
      </c>
      <c r="AN54" s="242">
        <f t="shared" si="14"/>
        <v>0</v>
      </c>
      <c r="AO54" s="172">
        <f t="shared" si="25"/>
        <v>0</v>
      </c>
      <c r="AP54" s="243">
        <f t="shared" si="15"/>
        <v>0</v>
      </c>
      <c r="AQ54" s="243">
        <f t="shared" si="32"/>
        <v>0</v>
      </c>
    </row>
    <row r="55" spans="1:43" x14ac:dyDescent="0.25">
      <c r="J55" s="137"/>
      <c r="K55" s="137"/>
      <c r="R55" s="168"/>
      <c r="S55" s="168"/>
      <c r="T55" s="168"/>
      <c r="U55" s="168"/>
      <c r="V55" s="168"/>
      <c r="W55" s="168"/>
      <c r="X55" s="168"/>
      <c r="Y55" s="168"/>
      <c r="Z55" s="168"/>
      <c r="AA55" s="170">
        <f t="shared" si="33"/>
        <v>0</v>
      </c>
      <c r="AD55">
        <f t="shared" si="17"/>
        <v>0</v>
      </c>
      <c r="AE55" s="168">
        <f t="shared" si="16"/>
        <v>0</v>
      </c>
      <c r="AF55" s="301">
        <f t="shared" si="9"/>
        <v>0</v>
      </c>
      <c r="AG55" s="141">
        <f>(AE55+AF55)</f>
        <v>0</v>
      </c>
      <c r="AH55" s="302">
        <f t="shared" si="29"/>
        <v>0.05</v>
      </c>
      <c r="AI55" s="303">
        <f t="shared" si="10"/>
        <v>0</v>
      </c>
      <c r="AJ55" s="303">
        <f t="shared" si="11"/>
        <v>0</v>
      </c>
      <c r="AK55" s="141">
        <f t="shared" si="19"/>
        <v>0</v>
      </c>
      <c r="AL55" s="141">
        <f t="shared" si="12"/>
        <v>0</v>
      </c>
      <c r="AM55" s="141">
        <f t="shared" si="13"/>
        <v>0</v>
      </c>
      <c r="AN55" s="242">
        <f t="shared" si="14"/>
        <v>0</v>
      </c>
      <c r="AO55" s="172">
        <f t="shared" si="25"/>
        <v>0</v>
      </c>
      <c r="AP55" s="243">
        <f t="shared" si="15"/>
        <v>0</v>
      </c>
      <c r="AQ55" s="243">
        <f t="shared" si="32"/>
        <v>0</v>
      </c>
    </row>
    <row r="56" spans="1:43" x14ac:dyDescent="0.25">
      <c r="J56" s="137"/>
      <c r="K56" s="137"/>
      <c r="R56" s="168"/>
      <c r="S56" s="168"/>
      <c r="T56" s="168"/>
      <c r="U56" s="168"/>
      <c r="V56" s="168"/>
      <c r="W56" s="168"/>
      <c r="X56" s="168"/>
      <c r="Y56" s="168"/>
      <c r="Z56" s="168"/>
      <c r="AA56" s="170">
        <f t="shared" si="33"/>
        <v>0</v>
      </c>
      <c r="AD56">
        <f t="shared" si="17"/>
        <v>0</v>
      </c>
      <c r="AE56" s="168">
        <f t="shared" si="16"/>
        <v>0</v>
      </c>
      <c r="AF56" s="301">
        <f t="shared" si="9"/>
        <v>0</v>
      </c>
      <c r="AG56" s="141">
        <f t="shared" si="18"/>
        <v>0</v>
      </c>
      <c r="AH56" s="302">
        <f t="shared" si="29"/>
        <v>0.05</v>
      </c>
      <c r="AI56" s="303">
        <f t="shared" si="10"/>
        <v>0</v>
      </c>
      <c r="AJ56" s="303">
        <f t="shared" si="11"/>
        <v>0</v>
      </c>
      <c r="AK56" s="141">
        <f t="shared" si="19"/>
        <v>0</v>
      </c>
      <c r="AL56" s="141">
        <f t="shared" si="12"/>
        <v>0</v>
      </c>
      <c r="AM56" s="141">
        <f t="shared" si="13"/>
        <v>0</v>
      </c>
      <c r="AN56" s="242">
        <f t="shared" si="14"/>
        <v>0</v>
      </c>
      <c r="AO56" s="172">
        <f t="shared" si="25"/>
        <v>0</v>
      </c>
      <c r="AP56" s="243">
        <f t="shared" si="15"/>
        <v>0</v>
      </c>
      <c r="AQ56" s="243">
        <f t="shared" si="32"/>
        <v>0</v>
      </c>
    </row>
    <row r="57" spans="1:43" x14ac:dyDescent="0.25">
      <c r="J57" s="137"/>
      <c r="K57" s="137"/>
      <c r="R57" s="168"/>
      <c r="S57" s="168"/>
      <c r="T57" s="168"/>
      <c r="U57" s="168"/>
      <c r="V57" s="168"/>
      <c r="W57" s="168"/>
      <c r="X57" s="168"/>
      <c r="Y57" s="168"/>
      <c r="Z57" s="168"/>
      <c r="AA57" s="170">
        <f t="shared" si="33"/>
        <v>0</v>
      </c>
      <c r="AD57">
        <f t="shared" si="17"/>
        <v>0</v>
      </c>
      <c r="AE57" s="168">
        <f t="shared" si="16"/>
        <v>0</v>
      </c>
      <c r="AF57" s="301">
        <f t="shared" si="9"/>
        <v>0</v>
      </c>
      <c r="AG57" s="141">
        <f t="shared" si="18"/>
        <v>0</v>
      </c>
      <c r="AH57" s="302">
        <f t="shared" si="29"/>
        <v>0.05</v>
      </c>
      <c r="AI57" s="303">
        <f t="shared" si="10"/>
        <v>0</v>
      </c>
      <c r="AJ57" s="303">
        <f t="shared" si="11"/>
        <v>0</v>
      </c>
      <c r="AK57" s="141">
        <f t="shared" si="19"/>
        <v>0</v>
      </c>
      <c r="AL57" s="141">
        <f t="shared" si="12"/>
        <v>0</v>
      </c>
      <c r="AM57" s="141">
        <f t="shared" si="13"/>
        <v>0</v>
      </c>
      <c r="AN57" s="242">
        <f t="shared" si="14"/>
        <v>0</v>
      </c>
      <c r="AO57" s="172">
        <f t="shared" si="25"/>
        <v>0</v>
      </c>
      <c r="AP57" s="243">
        <f t="shared" si="15"/>
        <v>0</v>
      </c>
      <c r="AQ57" s="243">
        <f t="shared" si="32"/>
        <v>0</v>
      </c>
    </row>
    <row r="58" spans="1:43" x14ac:dyDescent="0.25">
      <c r="B58" s="304"/>
      <c r="C58" s="304"/>
      <c r="D58" s="304"/>
      <c r="E58" s="304"/>
      <c r="F58" s="304"/>
      <c r="G58" s="305"/>
      <c r="H58" s="306">
        <f>SUM(H14:H53)</f>
        <v>168</v>
      </c>
      <c r="I58" s="307">
        <f>AVERAGE(I15:I53)</f>
        <v>0.88000000000000023</v>
      </c>
      <c r="J58" s="308">
        <f>SUM(J14:J53)</f>
        <v>240000</v>
      </c>
      <c r="K58" s="308">
        <f>SUM(K14:K57)</f>
        <v>98565.000000000015</v>
      </c>
      <c r="L58" s="309"/>
      <c r="M58" s="309">
        <f t="shared" ref="M58:S58" si="34">SUM(M14:M57)</f>
        <v>160</v>
      </c>
      <c r="N58" s="309">
        <f t="shared" si="34"/>
        <v>3528</v>
      </c>
      <c r="O58" s="309">
        <f t="shared" si="34"/>
        <v>14358</v>
      </c>
      <c r="P58" s="310">
        <f t="shared" si="34"/>
        <v>633514.93028571433</v>
      </c>
      <c r="Q58" s="310">
        <f t="shared" si="34"/>
        <v>121166</v>
      </c>
      <c r="R58" s="310">
        <f t="shared" si="34"/>
        <v>19686.239999999998</v>
      </c>
      <c r="S58" s="310">
        <f t="shared" si="34"/>
        <v>111992.40000000001</v>
      </c>
      <c r="T58" s="310"/>
      <c r="U58" s="310">
        <f t="shared" ref="U58:AB58" si="35">SUM(U14:U57)</f>
        <v>1272.727272727273</v>
      </c>
      <c r="V58" s="310">
        <f t="shared" si="35"/>
        <v>662.23636363636365</v>
      </c>
      <c r="W58" s="310">
        <f t="shared" si="35"/>
        <v>2648.9454545454546</v>
      </c>
      <c r="X58" s="310">
        <f t="shared" si="35"/>
        <v>7383.9354545454544</v>
      </c>
      <c r="Y58" s="310">
        <f t="shared" si="35"/>
        <v>41323.549090909095</v>
      </c>
      <c r="Z58" s="310">
        <f t="shared" si="35"/>
        <v>48707.48454545455</v>
      </c>
      <c r="AA58" s="196">
        <f t="shared" si="35"/>
        <v>936339.78210389614</v>
      </c>
      <c r="AB58" s="185">
        <f t="shared" si="35"/>
        <v>20188</v>
      </c>
      <c r="AC58" s="185"/>
      <c r="AD58" s="185">
        <f>SUM(AD14:AD57)</f>
        <v>94098</v>
      </c>
      <c r="AE58" s="311">
        <f>SUM(AE14:AE57)</f>
        <v>225096.19999999998</v>
      </c>
      <c r="AF58" s="311">
        <f>SUM(AF14:AF57)</f>
        <v>1467928.8</v>
      </c>
      <c r="AG58" s="186">
        <f>SUM(AG14:AG57)</f>
        <v>1693024.9999999998</v>
      </c>
      <c r="AH58" s="186"/>
      <c r="AI58" s="311">
        <f t="shared" ref="AI58:AN58" si="36">SUM(AI14:AI57)</f>
        <v>1009.4000000000001</v>
      </c>
      <c r="AJ58" s="311">
        <f t="shared" si="36"/>
        <v>4704.9000000000005</v>
      </c>
      <c r="AK58" s="186">
        <f t="shared" si="36"/>
        <v>84651.25</v>
      </c>
      <c r="AL58" s="186">
        <f t="shared" si="36"/>
        <v>11254.81</v>
      </c>
      <c r="AM58" s="186">
        <f t="shared" si="36"/>
        <v>73396.44</v>
      </c>
      <c r="AN58" s="312">
        <f t="shared" si="36"/>
        <v>2629364.7821038961</v>
      </c>
      <c r="AO58" s="313">
        <f>SUM(AO14:AO57)</f>
        <v>2290799.7821038957</v>
      </c>
      <c r="AP58" s="243">
        <f>SUM(AP14:AP57)</f>
        <v>1020991.032103896</v>
      </c>
      <c r="AQ58" s="243">
        <f>SUM(AQ14:AQ57)</f>
        <v>242426.03210389602</v>
      </c>
    </row>
    <row r="59" spans="1:43" x14ac:dyDescent="0.25">
      <c r="I59" s="169"/>
      <c r="J59" s="137"/>
      <c r="K59" s="137"/>
      <c r="AG59" s="140"/>
      <c r="AH59" s="140"/>
      <c r="AI59" s="140"/>
      <c r="AJ59" s="140"/>
      <c r="AK59" s="141"/>
      <c r="AL59" s="141"/>
      <c r="AM59" s="141"/>
      <c r="AN59" s="141"/>
      <c r="AO59" s="142"/>
      <c r="AP59" s="140"/>
    </row>
    <row r="60" spans="1:43" x14ac:dyDescent="0.25">
      <c r="K60" s="137"/>
      <c r="AG60" s="140"/>
      <c r="AH60" s="140"/>
      <c r="AI60" s="140"/>
      <c r="AJ60" s="140"/>
      <c r="AK60" s="141"/>
      <c r="AL60" s="141"/>
      <c r="AM60" s="141"/>
      <c r="AN60" s="141"/>
      <c r="AO60" s="142"/>
      <c r="AP60" s="140"/>
    </row>
    <row r="61" spans="1:43" x14ac:dyDescent="0.25">
      <c r="E61" s="142"/>
      <c r="F61" s="181" t="s">
        <v>515</v>
      </c>
      <c r="G61" s="314"/>
      <c r="H61" s="181"/>
      <c r="I61" s="181"/>
      <c r="J61" s="315">
        <f>H58</f>
        <v>168</v>
      </c>
      <c r="K61" s="170"/>
      <c r="N61" s="183" t="s">
        <v>417</v>
      </c>
      <c r="O61" s="183"/>
      <c r="P61" s="183"/>
      <c r="Q61" s="184">
        <f>P58+Q58+U58+Z58</f>
        <v>804661.14210389613</v>
      </c>
      <c r="AE61" s="185" t="s">
        <v>418</v>
      </c>
      <c r="AF61" s="185"/>
      <c r="AG61" s="186">
        <f>AG58</f>
        <v>1693024.9999999998</v>
      </c>
      <c r="AH61" s="186"/>
      <c r="AI61" s="186"/>
      <c r="AJ61" s="186"/>
      <c r="AK61" s="186">
        <f>SUM(AK14:AK57)</f>
        <v>84651.25</v>
      </c>
      <c r="AL61" s="186"/>
      <c r="AM61" s="186"/>
      <c r="AN61" s="141"/>
      <c r="AO61" s="142"/>
      <c r="AP61" s="140"/>
      <c r="AQ61" s="140"/>
    </row>
    <row r="62" spans="1:43" x14ac:dyDescent="0.25">
      <c r="E62" s="142"/>
      <c r="F62" s="181" t="s">
        <v>516</v>
      </c>
      <c r="G62" s="314"/>
      <c r="H62" s="181"/>
      <c r="I62" s="181"/>
      <c r="J62" s="308">
        <f>J58+K58</f>
        <v>338565</v>
      </c>
      <c r="K62" s="141"/>
      <c r="N62" s="183" t="s">
        <v>420</v>
      </c>
      <c r="O62" s="183"/>
      <c r="P62" s="183"/>
      <c r="Q62" s="188">
        <f>Q61/M58</f>
        <v>5029.1321381493508</v>
      </c>
      <c r="AA62" s="168"/>
      <c r="AE62" s="185" t="s">
        <v>421</v>
      </c>
      <c r="AF62" s="185"/>
      <c r="AG62" s="189">
        <f>AG61/H58</f>
        <v>10077.52976190476</v>
      </c>
      <c r="AH62" s="186"/>
      <c r="AI62" s="186"/>
      <c r="AJ62" s="186"/>
      <c r="AK62" s="189">
        <f>AK61/H58</f>
        <v>503.87648809523807</v>
      </c>
      <c r="AL62" s="189"/>
      <c r="AM62" s="189"/>
      <c r="AN62" s="141"/>
      <c r="AO62" s="142"/>
      <c r="AP62" s="140"/>
    </row>
    <row r="63" spans="1:43" x14ac:dyDescent="0.25">
      <c r="E63" s="142"/>
      <c r="F63" s="181" t="s">
        <v>517</v>
      </c>
      <c r="G63" s="314"/>
      <c r="H63" s="181"/>
      <c r="I63" s="181"/>
      <c r="J63" s="308">
        <f>J62/J61</f>
        <v>2015.2678571428571</v>
      </c>
      <c r="K63" s="316"/>
      <c r="AG63" s="140"/>
      <c r="AH63" s="140"/>
      <c r="AI63" s="140"/>
      <c r="AJ63" s="140"/>
      <c r="AK63" s="141"/>
      <c r="AL63" s="141"/>
      <c r="AM63" s="141"/>
      <c r="AN63" s="141"/>
      <c r="AO63" s="142"/>
      <c r="AP63" s="140"/>
    </row>
    <row r="64" spans="1:43" x14ac:dyDescent="0.25">
      <c r="K64" s="137"/>
      <c r="N64" s="183" t="s">
        <v>423</v>
      </c>
      <c r="O64" s="183"/>
      <c r="P64" s="183"/>
      <c r="Q64" s="184">
        <f>R58+S58+Z58</f>
        <v>180386.12454545457</v>
      </c>
      <c r="T64" s="191"/>
      <c r="U64" s="192"/>
      <c r="V64" s="192"/>
      <c r="AG64" s="140"/>
      <c r="AH64" s="140"/>
      <c r="AI64" s="140"/>
      <c r="AJ64" s="140"/>
      <c r="AK64" s="141"/>
      <c r="AL64" s="141"/>
      <c r="AM64" s="141"/>
      <c r="AN64" s="141"/>
      <c r="AO64" s="142"/>
      <c r="AP64" s="140"/>
    </row>
    <row r="65" spans="2:42" x14ac:dyDescent="0.25">
      <c r="F65" s="181" t="s">
        <v>518</v>
      </c>
      <c r="G65" s="314"/>
      <c r="H65" s="181"/>
      <c r="I65" s="181"/>
      <c r="J65" s="306">
        <v>230</v>
      </c>
      <c r="K65" s="137"/>
      <c r="N65" s="183" t="s">
        <v>421</v>
      </c>
      <c r="O65" s="183"/>
      <c r="P65" s="183"/>
      <c r="Q65" s="188">
        <f>Q64/M58</f>
        <v>1127.4132784090912</v>
      </c>
      <c r="T65" s="193"/>
      <c r="U65" s="192"/>
      <c r="V65" s="192"/>
      <c r="AE65" s="142"/>
      <c r="AF65" s="142"/>
      <c r="AG65" s="317"/>
      <c r="AH65" s="140"/>
      <c r="AI65" s="140"/>
      <c r="AJ65" s="140"/>
      <c r="AK65" s="141"/>
      <c r="AL65" s="141"/>
      <c r="AM65" s="141"/>
      <c r="AN65" s="141"/>
      <c r="AO65" s="142"/>
      <c r="AP65" s="140"/>
    </row>
    <row r="66" spans="2:42" x14ac:dyDescent="0.25">
      <c r="F66" s="181" t="s">
        <v>519</v>
      </c>
      <c r="G66" s="314"/>
      <c r="H66" s="181"/>
      <c r="I66" s="181"/>
      <c r="J66" s="318">
        <f>I58</f>
        <v>0.88000000000000023</v>
      </c>
      <c r="K66" s="137"/>
      <c r="AE66" s="142"/>
      <c r="AF66" s="142"/>
      <c r="AG66" s="317"/>
      <c r="AH66" s="140"/>
      <c r="AI66" s="140"/>
      <c r="AJ66" s="140"/>
      <c r="AK66" s="141"/>
      <c r="AL66" s="141"/>
      <c r="AM66" s="141"/>
      <c r="AN66" s="141"/>
      <c r="AO66" s="142"/>
      <c r="AP66" s="140"/>
    </row>
    <row r="67" spans="2:42" x14ac:dyDescent="0.25">
      <c r="J67" s="137"/>
      <c r="K67" s="137"/>
      <c r="AE67" s="142"/>
      <c r="AF67" s="142"/>
      <c r="AG67" s="141"/>
      <c r="AH67" s="140"/>
      <c r="AI67" s="140"/>
      <c r="AJ67" s="140"/>
      <c r="AK67" s="141"/>
      <c r="AL67" s="141"/>
      <c r="AM67" s="141"/>
      <c r="AN67" s="141"/>
      <c r="AO67" s="142"/>
      <c r="AP67" s="140"/>
    </row>
    <row r="68" spans="2:42" ht="15.75" thickBot="1" x14ac:dyDescent="0.3">
      <c r="W68" s="142"/>
      <c r="X68" s="142"/>
      <c r="Y68" s="142"/>
      <c r="Z68" s="317"/>
      <c r="AE68" s="142"/>
      <c r="AF68" s="142"/>
      <c r="AG68" s="141"/>
    </row>
    <row r="69" spans="2:42" x14ac:dyDescent="0.25">
      <c r="B69" s="129"/>
      <c r="C69" s="202" t="s">
        <v>452</v>
      </c>
      <c r="D69" s="203"/>
      <c r="E69" s="214">
        <v>200</v>
      </c>
      <c r="W69" s="142"/>
      <c r="X69" s="142"/>
      <c r="Y69" s="142"/>
      <c r="Z69" s="317"/>
      <c r="AE69" s="142"/>
      <c r="AF69" s="142"/>
      <c r="AG69" s="141"/>
    </row>
    <row r="70" spans="2:42" x14ac:dyDescent="0.25">
      <c r="B70" s="129"/>
      <c r="C70" s="204" t="s">
        <v>451</v>
      </c>
      <c r="D70" s="129"/>
      <c r="E70" s="205">
        <f>H58</f>
        <v>168</v>
      </c>
      <c r="W70" s="142"/>
      <c r="X70" s="142"/>
      <c r="Y70" s="142"/>
      <c r="Z70" s="142"/>
    </row>
    <row r="71" spans="2:42" x14ac:dyDescent="0.25">
      <c r="B71" s="129"/>
      <c r="C71" s="204" t="s">
        <v>450</v>
      </c>
      <c r="D71" s="129"/>
      <c r="E71" s="205">
        <f>E69*E70</f>
        <v>33600</v>
      </c>
      <c r="W71" s="142"/>
      <c r="X71" s="142"/>
      <c r="Y71" s="142"/>
      <c r="Z71" s="319"/>
    </row>
    <row r="72" spans="2:42" x14ac:dyDescent="0.25">
      <c r="B72" s="129"/>
      <c r="C72" s="204" t="s">
        <v>444</v>
      </c>
      <c r="D72" s="129"/>
      <c r="E72" s="205">
        <v>2.6761400000000002</v>
      </c>
      <c r="T72" s="194"/>
      <c r="W72" s="142"/>
      <c r="X72" s="142"/>
      <c r="Y72" s="142"/>
      <c r="Z72" s="141"/>
    </row>
    <row r="73" spans="2:42" x14ac:dyDescent="0.25">
      <c r="C73" s="204" t="s">
        <v>453</v>
      </c>
      <c r="D73" s="129"/>
      <c r="E73" s="205">
        <f>E71*E72</f>
        <v>89918.304000000004</v>
      </c>
      <c r="W73" s="142"/>
      <c r="X73" s="142"/>
      <c r="Y73" s="142"/>
      <c r="Z73" s="141"/>
    </row>
    <row r="74" spans="2:42" ht="15.75" thickBot="1" x14ac:dyDescent="0.3">
      <c r="C74" s="206" t="s">
        <v>454</v>
      </c>
      <c r="D74" s="207"/>
      <c r="E74" s="215">
        <f>E73/1000</f>
        <v>89.918304000000006</v>
      </c>
      <c r="W74" s="142"/>
      <c r="X74" s="142"/>
      <c r="Y74" s="142"/>
      <c r="Z74" s="320"/>
    </row>
    <row r="78" spans="2:42" x14ac:dyDescent="0.25">
      <c r="E78" t="s">
        <v>446</v>
      </c>
    </row>
    <row r="79" spans="2:42" x14ac:dyDescent="0.25">
      <c r="C79" s="216" t="s">
        <v>456</v>
      </c>
      <c r="D79">
        <f>E71*0.5</f>
        <v>16800</v>
      </c>
      <c r="E79" s="168">
        <f>D79/1000000</f>
        <v>1.6799999999999999E-2</v>
      </c>
      <c r="F79" s="129" t="s">
        <v>520</v>
      </c>
      <c r="G79"/>
    </row>
    <row r="80" spans="2:42" x14ac:dyDescent="0.25">
      <c r="C80" s="129" t="s">
        <v>448</v>
      </c>
      <c r="D80" s="212">
        <f>J62+440000</f>
        <v>778565</v>
      </c>
      <c r="E80" s="213">
        <f>D80/1000000</f>
        <v>0.77856499999999995</v>
      </c>
      <c r="F80" s="129"/>
      <c r="G80"/>
    </row>
    <row r="81" spans="3:7" x14ac:dyDescent="0.25">
      <c r="C81" s="129" t="s">
        <v>455</v>
      </c>
      <c r="D81" s="129">
        <f>E74</f>
        <v>89.918304000000006</v>
      </c>
      <c r="E81" s="211">
        <f>D81</f>
        <v>89.918304000000006</v>
      </c>
      <c r="F81" s="129"/>
      <c r="G81"/>
    </row>
    <row r="82" spans="3:7" ht="15.75" x14ac:dyDescent="0.3">
      <c r="C82" s="4"/>
      <c r="E82" s="168"/>
      <c r="F82" s="168"/>
      <c r="G82"/>
    </row>
    <row r="83" spans="3:7" ht="15.75" x14ac:dyDescent="0.3">
      <c r="C83" s="4"/>
      <c r="E83" s="168"/>
      <c r="F83" s="168"/>
      <c r="G83"/>
    </row>
    <row r="84" spans="3:7" ht="15.75" x14ac:dyDescent="0.3">
      <c r="C84" s="4"/>
      <c r="E84" s="167"/>
      <c r="F84" s="167"/>
      <c r="G84"/>
    </row>
  </sheetData>
  <mergeCells count="3">
    <mergeCell ref="B12:K12"/>
    <mergeCell ref="L12:AA12"/>
    <mergeCell ref="AB12:AK12"/>
  </mergeCell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84"/>
  <sheetViews>
    <sheetView topLeftCell="A25" zoomScale="55" zoomScaleNormal="55" workbookViewId="0">
      <selection activeCell="F78" sqref="F78"/>
    </sheetView>
  </sheetViews>
  <sheetFormatPr defaultRowHeight="14.25" x14ac:dyDescent="0.2"/>
  <cols>
    <col min="1" max="1" width="11.7109375" style="323" bestFit="1" customWidth="1"/>
    <col min="2" max="2" width="23.42578125" style="323" bestFit="1" customWidth="1"/>
    <col min="3" max="3" width="24.5703125" style="323" customWidth="1"/>
    <col min="4" max="4" width="26" style="323" bestFit="1" customWidth="1"/>
    <col min="5" max="5" width="18.85546875" style="323" bestFit="1" customWidth="1"/>
    <col min="6" max="6" width="24.140625" style="323" bestFit="1" customWidth="1"/>
    <col min="7" max="7" width="16.28515625" style="323" bestFit="1" customWidth="1"/>
    <col min="8" max="8" width="16.28515625" style="325" customWidth="1"/>
    <col min="9" max="9" width="18.140625" style="323" bestFit="1" customWidth="1"/>
    <col min="10" max="10" width="18.140625" style="323" customWidth="1"/>
    <col min="11" max="11" width="23.140625" style="323" customWidth="1"/>
    <col min="12" max="12" width="17.85546875" style="323" customWidth="1"/>
    <col min="13" max="13" width="12.28515625" style="323" bestFit="1" customWidth="1"/>
    <col min="14" max="14" width="12.28515625" style="323" customWidth="1"/>
    <col min="15" max="15" width="17.42578125" style="323" bestFit="1" customWidth="1"/>
    <col min="16" max="16" width="17.140625" style="323" bestFit="1" customWidth="1"/>
    <col min="17" max="17" width="14.85546875" style="323" bestFit="1" customWidth="1"/>
    <col min="18" max="18" width="15" style="323" bestFit="1" customWidth="1"/>
    <col min="19" max="19" width="17" style="323" customWidth="1"/>
    <col min="20" max="20" width="22.28515625" style="323" bestFit="1" customWidth="1"/>
    <col min="21" max="21" width="14.140625" style="323" customWidth="1"/>
    <col min="22" max="27" width="13.140625" style="323" customWidth="1"/>
    <col min="28" max="28" width="17.7109375" style="323" customWidth="1"/>
    <col min="29" max="30" width="14.28515625" style="323" customWidth="1"/>
    <col min="31" max="31" width="13.7109375" style="323" customWidth="1"/>
    <col min="32" max="32" width="15.42578125" style="323" customWidth="1"/>
    <col min="33" max="33" width="14.28515625" style="323" bestFit="1" customWidth="1"/>
    <col min="34" max="34" width="17" style="323" bestFit="1" customWidth="1"/>
    <col min="35" max="35" width="12.7109375" style="323" bestFit="1" customWidth="1"/>
    <col min="36" max="37" width="11.5703125" style="323" customWidth="1"/>
    <col min="38" max="38" width="18.42578125" style="323" bestFit="1" customWidth="1"/>
    <col min="39" max="40" width="18.42578125" style="323" customWidth="1"/>
    <col min="41" max="41" width="25.42578125" style="323" bestFit="1" customWidth="1"/>
    <col min="42" max="42" width="20.5703125" style="323" bestFit="1" customWidth="1"/>
    <col min="43" max="43" width="17.28515625" style="323" bestFit="1" customWidth="1"/>
    <col min="44" max="44" width="15.140625" style="323" bestFit="1" customWidth="1"/>
    <col min="45" max="16384" width="9.140625" style="323"/>
  </cols>
  <sheetData>
    <row r="1" spans="1:44" ht="18" x14ac:dyDescent="0.25">
      <c r="C1" s="324" t="s">
        <v>521</v>
      </c>
      <c r="K1" s="326"/>
      <c r="L1" s="326"/>
      <c r="T1" s="327" t="s">
        <v>345</v>
      </c>
      <c r="U1" s="139">
        <v>55</v>
      </c>
      <c r="AH1" s="328"/>
      <c r="AI1" s="328"/>
      <c r="AJ1" s="328"/>
      <c r="AK1" s="328"/>
      <c r="AL1" s="329"/>
      <c r="AM1" s="329"/>
      <c r="AN1" s="329"/>
      <c r="AO1" s="329"/>
      <c r="AP1" s="330"/>
    </row>
    <row r="2" spans="1:44" ht="15" x14ac:dyDescent="0.25">
      <c r="C2" s="323" t="s">
        <v>76</v>
      </c>
      <c r="K2" s="326"/>
      <c r="L2" s="326"/>
      <c r="O2" s="143" t="s">
        <v>346</v>
      </c>
      <c r="P2" s="143"/>
      <c r="Q2" s="143"/>
      <c r="T2" s="323" t="s">
        <v>347</v>
      </c>
      <c r="U2" s="323">
        <v>4</v>
      </c>
      <c r="AD2" s="144" t="s">
        <v>348</v>
      </c>
      <c r="AE2" s="144"/>
      <c r="AF2" s="144"/>
      <c r="AH2" s="328"/>
      <c r="AI2" s="328"/>
      <c r="AJ2" s="328"/>
      <c r="AK2" s="328"/>
      <c r="AL2" s="329"/>
      <c r="AM2" s="329"/>
      <c r="AN2" s="329"/>
      <c r="AO2" s="329"/>
      <c r="AP2" s="330"/>
    </row>
    <row r="3" spans="1:44" ht="15" x14ac:dyDescent="0.25">
      <c r="D3" s="145" t="s">
        <v>349</v>
      </c>
      <c r="K3" s="326"/>
      <c r="L3" s="326"/>
      <c r="O3" s="143" t="s">
        <v>350</v>
      </c>
      <c r="P3" s="143"/>
      <c r="Q3" s="146">
        <f>AF3/2</f>
        <v>6.01</v>
      </c>
      <c r="T3" s="323" t="s">
        <v>351</v>
      </c>
      <c r="U3" s="331">
        <v>500</v>
      </c>
      <c r="AD3" s="144" t="s">
        <v>350</v>
      </c>
      <c r="AE3" s="144"/>
      <c r="AF3" s="148">
        <v>12.02</v>
      </c>
      <c r="AH3" s="328"/>
      <c r="AI3" s="328"/>
      <c r="AJ3" s="328"/>
      <c r="AK3" s="328"/>
      <c r="AL3" s="329"/>
      <c r="AM3" s="329"/>
      <c r="AN3" s="329"/>
      <c r="AO3" s="329"/>
      <c r="AP3" s="330"/>
    </row>
    <row r="4" spans="1:44" ht="15" x14ac:dyDescent="0.25">
      <c r="K4" s="326"/>
      <c r="L4" s="326"/>
      <c r="O4" s="143" t="s">
        <v>352</v>
      </c>
      <c r="P4" s="143"/>
      <c r="Q4" s="146">
        <f>AF4/2</f>
        <v>8.4149999999999991</v>
      </c>
      <c r="AD4" s="144" t="s">
        <v>352</v>
      </c>
      <c r="AE4" s="144"/>
      <c r="AF4" s="148">
        <v>16.829999999999998</v>
      </c>
      <c r="AH4" s="328"/>
      <c r="AI4" s="328"/>
      <c r="AJ4" s="328"/>
      <c r="AK4" s="328"/>
      <c r="AL4" s="329"/>
      <c r="AM4" s="329"/>
      <c r="AN4" s="329"/>
      <c r="AO4" s="329"/>
      <c r="AP4" s="330"/>
    </row>
    <row r="5" spans="1:44" ht="15" x14ac:dyDescent="0.25">
      <c r="G5" s="323" t="s">
        <v>461</v>
      </c>
      <c r="K5" s="326">
        <v>24000</v>
      </c>
      <c r="L5" s="326"/>
      <c r="O5" s="149"/>
      <c r="P5" s="149"/>
      <c r="Q5" s="150"/>
      <c r="AD5" s="149"/>
      <c r="AE5" s="149"/>
      <c r="AF5" s="150"/>
      <c r="AH5" s="328"/>
      <c r="AI5" s="328"/>
      <c r="AJ5" s="328"/>
      <c r="AK5" s="328"/>
      <c r="AL5" s="329"/>
      <c r="AM5" s="329"/>
      <c r="AN5" s="329"/>
      <c r="AO5" s="329"/>
      <c r="AP5" s="330"/>
    </row>
    <row r="6" spans="1:44" ht="15" x14ac:dyDescent="0.25">
      <c r="G6" s="323" t="s">
        <v>462</v>
      </c>
      <c r="K6" s="326">
        <v>261</v>
      </c>
      <c r="L6" s="326"/>
      <c r="O6" s="149"/>
      <c r="P6" s="149"/>
      <c r="Q6" s="150"/>
      <c r="AD6" s="149" t="s">
        <v>383</v>
      </c>
      <c r="AE6" s="149"/>
      <c r="AF6" s="221">
        <v>0.05</v>
      </c>
      <c r="AH6" s="328"/>
      <c r="AI6" s="328"/>
      <c r="AJ6" s="328"/>
      <c r="AK6" s="328"/>
      <c r="AL6" s="329"/>
      <c r="AM6" s="329"/>
      <c r="AN6" s="329"/>
      <c r="AO6" s="329"/>
      <c r="AP6" s="330"/>
    </row>
    <row r="7" spans="1:44" ht="15" x14ac:dyDescent="0.25">
      <c r="K7" s="326"/>
      <c r="L7" s="326"/>
      <c r="O7" s="149"/>
      <c r="P7" s="149"/>
      <c r="Q7" s="150"/>
      <c r="AD7" s="149"/>
      <c r="AE7" s="149"/>
      <c r="AF7" s="150" t="s">
        <v>463</v>
      </c>
      <c r="AH7" s="328"/>
      <c r="AI7" s="328"/>
      <c r="AJ7" s="328"/>
      <c r="AK7" s="328"/>
      <c r="AL7" s="329"/>
      <c r="AM7" s="329"/>
      <c r="AN7" s="329"/>
      <c r="AO7" s="329"/>
      <c r="AP7" s="330"/>
    </row>
    <row r="8" spans="1:44" ht="15" x14ac:dyDescent="0.25">
      <c r="G8" s="323" t="s">
        <v>464</v>
      </c>
      <c r="K8" s="332">
        <v>500</v>
      </c>
      <c r="L8" s="326"/>
      <c r="O8" s="149"/>
      <c r="P8" s="149"/>
      <c r="Q8" s="150"/>
      <c r="AC8" s="514"/>
      <c r="AD8" s="514"/>
      <c r="AE8" s="514"/>
      <c r="AF8" s="514"/>
      <c r="AG8" s="514"/>
      <c r="AH8" s="514"/>
      <c r="AI8" s="514"/>
      <c r="AJ8" s="514"/>
      <c r="AK8" s="514"/>
      <c r="AL8" s="514"/>
      <c r="AM8" s="333"/>
      <c r="AN8" s="333"/>
      <c r="AO8" s="333"/>
      <c r="AP8" s="216"/>
      <c r="AQ8" s="154"/>
      <c r="AR8" s="216"/>
    </row>
    <row r="9" spans="1:44" ht="15" x14ac:dyDescent="0.25">
      <c r="G9" s="323" t="s">
        <v>465</v>
      </c>
      <c r="K9" s="332">
        <v>0</v>
      </c>
      <c r="L9" s="326"/>
      <c r="O9" s="149"/>
      <c r="P9" s="149"/>
      <c r="Q9" s="150"/>
      <c r="AC9" s="334"/>
      <c r="AD9" s="334"/>
      <c r="AE9" s="334"/>
      <c r="AF9" s="334"/>
      <c r="AG9" s="334"/>
      <c r="AH9" s="163"/>
      <c r="AI9" s="163"/>
      <c r="AJ9" s="163"/>
      <c r="AK9" s="163"/>
      <c r="AL9" s="163"/>
      <c r="AM9" s="163"/>
      <c r="AN9" s="163"/>
      <c r="AO9" s="163"/>
      <c r="AP9" s="334"/>
      <c r="AQ9" s="163"/>
      <c r="AR9" s="334"/>
    </row>
    <row r="10" spans="1:44" ht="15" x14ac:dyDescent="0.25">
      <c r="G10" s="323" t="s">
        <v>466</v>
      </c>
      <c r="K10" s="332">
        <v>12</v>
      </c>
      <c r="L10" s="326"/>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326"/>
      <c r="L11" s="326"/>
      <c r="O11" s="149"/>
      <c r="P11" s="149"/>
      <c r="Q11" s="150"/>
      <c r="AD11" s="149"/>
      <c r="AE11" s="149"/>
      <c r="AF11" s="150"/>
      <c r="AH11" s="328"/>
      <c r="AI11" s="328"/>
      <c r="AJ11" s="328"/>
      <c r="AK11" s="328"/>
      <c r="AL11" s="329"/>
      <c r="AM11" s="329"/>
      <c r="AN11" s="329"/>
      <c r="AO11" s="329"/>
      <c r="AP11" s="330"/>
    </row>
    <row r="12" spans="1:44" ht="15" x14ac:dyDescent="0.25">
      <c r="B12" s="515" t="s">
        <v>522</v>
      </c>
      <c r="C12" s="516"/>
      <c r="D12" s="516"/>
      <c r="E12" s="516"/>
      <c r="F12" s="516"/>
      <c r="G12" s="516"/>
      <c r="H12" s="516"/>
      <c r="I12" s="516"/>
      <c r="J12" s="516"/>
      <c r="K12" s="516"/>
      <c r="L12" s="517"/>
      <c r="M12" s="510" t="s">
        <v>354</v>
      </c>
      <c r="N12" s="511"/>
      <c r="O12" s="511"/>
      <c r="P12" s="511"/>
      <c r="Q12" s="511"/>
      <c r="R12" s="511"/>
      <c r="S12" s="511"/>
      <c r="T12" s="511"/>
      <c r="U12" s="511"/>
      <c r="V12" s="511"/>
      <c r="W12" s="511"/>
      <c r="X12" s="511"/>
      <c r="Y12" s="511"/>
      <c r="Z12" s="511"/>
      <c r="AA12" s="511"/>
      <c r="AB12" s="512"/>
      <c r="AC12" s="513" t="s">
        <v>355</v>
      </c>
      <c r="AD12" s="513"/>
      <c r="AE12" s="513"/>
      <c r="AF12" s="513"/>
      <c r="AG12" s="513"/>
      <c r="AH12" s="513"/>
      <c r="AI12" s="513"/>
      <c r="AJ12" s="513"/>
      <c r="AK12" s="513"/>
      <c r="AL12" s="513"/>
      <c r="AM12" s="321"/>
      <c r="AN12" s="321"/>
      <c r="AO12" s="223"/>
      <c r="AP12" s="153"/>
      <c r="AQ12" s="224"/>
      <c r="AR12" s="225"/>
    </row>
    <row r="13" spans="1:44" s="339" customFormat="1" ht="90" x14ac:dyDescent="0.25">
      <c r="A13" s="339" t="s">
        <v>467</v>
      </c>
      <c r="B13" s="340" t="s">
        <v>523</v>
      </c>
      <c r="C13" s="340" t="s">
        <v>356</v>
      </c>
      <c r="D13" s="340" t="s">
        <v>524</v>
      </c>
      <c r="E13" s="340" t="s">
        <v>358</v>
      </c>
      <c r="F13" s="340" t="s">
        <v>359</v>
      </c>
      <c r="G13" s="340" t="s">
        <v>360</v>
      </c>
      <c r="H13" s="341" t="s">
        <v>468</v>
      </c>
      <c r="I13" s="340" t="s">
        <v>469</v>
      </c>
      <c r="J13" s="340" t="s">
        <v>470</v>
      </c>
      <c r="K13" s="342" t="s">
        <v>471</v>
      </c>
      <c r="L13" s="342" t="s">
        <v>472</v>
      </c>
      <c r="M13" s="343" t="s">
        <v>365</v>
      </c>
      <c r="N13" s="343" t="s">
        <v>366</v>
      </c>
      <c r="O13" s="343" t="s">
        <v>367</v>
      </c>
      <c r="P13" s="343" t="s">
        <v>368</v>
      </c>
      <c r="Q13" s="343" t="s">
        <v>369</v>
      </c>
      <c r="R13" s="343" t="s">
        <v>370</v>
      </c>
      <c r="S13" s="344" t="s">
        <v>371</v>
      </c>
      <c r="T13" s="344" t="s">
        <v>372</v>
      </c>
      <c r="U13" s="344" t="s">
        <v>373</v>
      </c>
      <c r="V13" s="344" t="s">
        <v>374</v>
      </c>
      <c r="W13" s="344" t="s">
        <v>442</v>
      </c>
      <c r="X13" s="344" t="s">
        <v>443</v>
      </c>
      <c r="Y13" s="344" t="s">
        <v>430</v>
      </c>
      <c r="Z13" s="344" t="s">
        <v>431</v>
      </c>
      <c r="AA13" s="344" t="s">
        <v>375</v>
      </c>
      <c r="AB13" s="343"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345" t="s">
        <v>525</v>
      </c>
      <c r="B14" s="345" t="s">
        <v>526</v>
      </c>
      <c r="C14" s="346" t="s">
        <v>527</v>
      </c>
      <c r="D14" s="346" t="s">
        <v>528</v>
      </c>
      <c r="E14" s="346" t="s">
        <v>529</v>
      </c>
      <c r="F14" s="346" t="s">
        <v>530</v>
      </c>
      <c r="G14" s="347">
        <v>42869</v>
      </c>
      <c r="H14" s="348">
        <v>6</v>
      </c>
      <c r="I14" s="346">
        <v>6</v>
      </c>
      <c r="J14" s="349">
        <f>SUM(I14:I17)/(($K$8-$K$9)/$K$10)</f>
        <v>0.52800000000000002</v>
      </c>
      <c r="K14" s="350">
        <v>24000</v>
      </c>
      <c r="L14" s="351">
        <v>6672.4</v>
      </c>
      <c r="M14" s="346">
        <v>8</v>
      </c>
      <c r="N14" s="346">
        <v>3</v>
      </c>
      <c r="O14" s="346">
        <v>16</v>
      </c>
      <c r="P14" s="346">
        <v>432</v>
      </c>
      <c r="Q14" s="352">
        <f>[2]Conerock!G26</f>
        <v>3722.7359999999999</v>
      </c>
      <c r="R14" s="352">
        <f>[2]Conerock!G32</f>
        <v>2084</v>
      </c>
      <c r="S14" s="353">
        <f>O14*$Q$3</f>
        <v>96.16</v>
      </c>
      <c r="T14" s="353">
        <f>P14*$Q$4</f>
        <v>3635.2799999999997</v>
      </c>
      <c r="U14" s="354">
        <f>N14/$U$1</f>
        <v>5.4545454545454543E-2</v>
      </c>
      <c r="V14" s="355">
        <f>IF(M14=0,0,U14*$U$3)</f>
        <v>27.27272727272727</v>
      </c>
      <c r="W14" s="353">
        <f>M14*U14</f>
        <v>0.43636363636363634</v>
      </c>
      <c r="X14" s="353">
        <f>U14*(M14*$U$2)</f>
        <v>1.7454545454545454</v>
      </c>
      <c r="Y14" s="353">
        <f>U14*(M14*$AF$3)</f>
        <v>5.2450909090909086</v>
      </c>
      <c r="Z14" s="353">
        <f>U14*(M14*$U$2)*$AF$4</f>
        <v>29.375999999999994</v>
      </c>
      <c r="AA14" s="353">
        <f>Y14+Z14</f>
        <v>34.621090909090903</v>
      </c>
      <c r="AB14" s="350">
        <f>Q14+R14+S14+T14+V14+AA14</f>
        <v>9600.0698181818188</v>
      </c>
      <c r="AC14" s="231">
        <v>2472</v>
      </c>
      <c r="AD14" s="231">
        <v>4</v>
      </c>
      <c r="AE14" s="231">
        <f>AC14*AD14</f>
        <v>9888</v>
      </c>
      <c r="AF14" s="236">
        <f>AC14*$AF$3</f>
        <v>29713.439999999999</v>
      </c>
      <c r="AG14" s="236">
        <f>AE14*$AF$4</f>
        <v>166415.03999999998</v>
      </c>
      <c r="AH14" s="239">
        <f>(AF14+AG14)</f>
        <v>196128.47999999998</v>
      </c>
      <c r="AI14" s="240">
        <f>$AF$6</f>
        <v>0.05</v>
      </c>
      <c r="AJ14" s="241">
        <f>AC14*AI14</f>
        <v>123.60000000000001</v>
      </c>
      <c r="AK14" s="241">
        <f>AE14*AI14</f>
        <v>494.40000000000003</v>
      </c>
      <c r="AL14" s="239">
        <f>AH14*AI14</f>
        <v>9806.4239999999991</v>
      </c>
      <c r="AM14" s="239">
        <f>AF14*AI14</f>
        <v>1485.672</v>
      </c>
      <c r="AN14" s="239">
        <f>AG14*AI14</f>
        <v>8320.7519999999986</v>
      </c>
      <c r="AO14" s="242">
        <f>AB14+AH14</f>
        <v>205728.54981818181</v>
      </c>
      <c r="AP14" s="172">
        <f t="shared" ref="AP14:AP53" si="0">AO14-($K$63*H14)</f>
        <v>197026.56034449762</v>
      </c>
      <c r="AQ14" s="243">
        <f>AB14+AL14</f>
        <v>19406.493818181818</v>
      </c>
      <c r="AR14" s="243">
        <f t="shared" ref="AR14:AR53" si="1">AQ14-($K$63*H14)</f>
        <v>10704.504344497607</v>
      </c>
    </row>
    <row r="15" spans="1:44" ht="15" x14ac:dyDescent="0.25">
      <c r="A15" s="345"/>
      <c r="B15" s="345" t="s">
        <v>526</v>
      </c>
      <c r="C15" s="346" t="s">
        <v>531</v>
      </c>
      <c r="D15" s="346" t="s">
        <v>532</v>
      </c>
      <c r="E15" s="346" t="s">
        <v>532</v>
      </c>
      <c r="F15" s="346" t="s">
        <v>405</v>
      </c>
      <c r="G15" s="347">
        <v>42844</v>
      </c>
      <c r="H15" s="348">
        <v>2</v>
      </c>
      <c r="I15" s="346">
        <v>2</v>
      </c>
      <c r="J15" s="354"/>
      <c r="K15" s="350"/>
      <c r="L15" s="350"/>
      <c r="M15" s="346">
        <v>160</v>
      </c>
      <c r="N15" s="346">
        <v>3</v>
      </c>
      <c r="O15" s="346">
        <v>320</v>
      </c>
      <c r="P15" s="346">
        <v>1920</v>
      </c>
      <c r="Q15" s="352">
        <f>[2]Balquidder!G26</f>
        <v>18917.736000000001</v>
      </c>
      <c r="R15" s="352">
        <f>[2]Balquidder!G32</f>
        <v>2900</v>
      </c>
      <c r="S15" s="353">
        <f>O15*$Q$3</f>
        <v>1923.1999999999998</v>
      </c>
      <c r="T15" s="353">
        <f>P15*$Q$4</f>
        <v>16156.8</v>
      </c>
      <c r="U15" s="354">
        <f>N15/$U$1</f>
        <v>5.4545454545454543E-2</v>
      </c>
      <c r="V15" s="355">
        <f>IF(M15=0,0,U15*$U$3)</f>
        <v>27.27272727272727</v>
      </c>
      <c r="W15" s="353">
        <f>M15*U15</f>
        <v>8.7272727272727266</v>
      </c>
      <c r="X15" s="353">
        <f>U15*(M15*$U$2)</f>
        <v>34.909090909090907</v>
      </c>
      <c r="Y15" s="353">
        <f>U15*(M15*$AF$3)</f>
        <v>104.90181818181817</v>
      </c>
      <c r="Z15" s="353">
        <f>U15*(M15*$U$2)*$AF$4</f>
        <v>587.51999999999987</v>
      </c>
      <c r="AA15" s="353">
        <f>Y15+Z15</f>
        <v>692.42181818181803</v>
      </c>
      <c r="AB15" s="350">
        <f>Q15+R15+S15+T15+V15+AA15</f>
        <v>40617.430545454554</v>
      </c>
      <c r="AC15" s="231">
        <v>0</v>
      </c>
      <c r="AD15" s="231">
        <v>0</v>
      </c>
      <c r="AE15" s="231">
        <f t="shared" ref="AE15:AE53" si="2">AC15*AD15</f>
        <v>0</v>
      </c>
      <c r="AF15" s="236">
        <f t="shared" ref="AF15:AF53" si="3">AC15*$AF$3</f>
        <v>0</v>
      </c>
      <c r="AG15" s="236">
        <f t="shared" ref="AG15:AG53" si="4">AE15*$AF$4</f>
        <v>0</v>
      </c>
      <c r="AH15" s="239">
        <f t="shared" ref="AH15:AH53" si="5">(AF15+AG15)</f>
        <v>0</v>
      </c>
      <c r="AI15" s="240">
        <f t="shared" ref="AI15:AI53" si="6">$AF$6</f>
        <v>0.05</v>
      </c>
      <c r="AJ15" s="241">
        <f t="shared" ref="AJ15:AJ53" si="7">AC15*AI15</f>
        <v>0</v>
      </c>
      <c r="AK15" s="241">
        <f t="shared" ref="AK15:AK53" si="8">AE15*AI15</f>
        <v>0</v>
      </c>
      <c r="AL15" s="239">
        <f t="shared" ref="AL15:AL53" si="9">AH15*AI15</f>
        <v>0</v>
      </c>
      <c r="AM15" s="239">
        <f t="shared" ref="AM15:AM53" si="10">AF15*AI15</f>
        <v>0</v>
      </c>
      <c r="AN15" s="239">
        <f t="shared" ref="AN15:AN53" si="11">AG15*AI15</f>
        <v>0</v>
      </c>
      <c r="AO15" s="242">
        <f t="shared" ref="AO15:AO53" si="12">AB15+AH15</f>
        <v>40617.430545454554</v>
      </c>
      <c r="AP15" s="172">
        <f t="shared" si="0"/>
        <v>37716.767387559819</v>
      </c>
      <c r="AQ15" s="243">
        <f t="shared" ref="AQ15:AQ53" si="13">AB15+AL15</f>
        <v>40617.430545454554</v>
      </c>
      <c r="AR15" s="243">
        <f t="shared" si="1"/>
        <v>37716.767387559819</v>
      </c>
    </row>
    <row r="16" spans="1:44" s="365" customFormat="1" ht="15" x14ac:dyDescent="0.25">
      <c r="A16" s="356"/>
      <c r="B16" s="356" t="s">
        <v>533</v>
      </c>
      <c r="C16" s="357" t="s">
        <v>531</v>
      </c>
      <c r="D16" s="357" t="s">
        <v>534</v>
      </c>
      <c r="E16" s="357" t="s">
        <v>535</v>
      </c>
      <c r="F16" s="357" t="s">
        <v>536</v>
      </c>
      <c r="G16" s="358">
        <v>42855</v>
      </c>
      <c r="H16" s="359">
        <v>9</v>
      </c>
      <c r="I16" s="357">
        <v>9</v>
      </c>
      <c r="J16" s="360"/>
      <c r="K16" s="360"/>
      <c r="L16" s="360"/>
      <c r="M16" s="357">
        <v>120</v>
      </c>
      <c r="N16" s="357">
        <v>10</v>
      </c>
      <c r="O16" s="357">
        <v>240</v>
      </c>
      <c r="P16" s="357">
        <v>1016</v>
      </c>
      <c r="Q16" s="361">
        <f>[2]Rannoch!G26</f>
        <v>49890.063999999998</v>
      </c>
      <c r="R16" s="361">
        <f>[2]Rannoch!G32</f>
        <v>10696</v>
      </c>
      <c r="S16" s="362">
        <f>O16*$Q$3</f>
        <v>1442.3999999999999</v>
      </c>
      <c r="T16" s="362">
        <f>P16*$Q$4</f>
        <v>8549.64</v>
      </c>
      <c r="U16" s="363">
        <f>N16/$U$1</f>
        <v>0.18181818181818182</v>
      </c>
      <c r="V16" s="364">
        <f>IF(M16=0,0,U16*$U$3)</f>
        <v>90.909090909090907</v>
      </c>
      <c r="W16" s="362">
        <f>M16*U16</f>
        <v>21.81818181818182</v>
      </c>
      <c r="X16" s="362">
        <f>U16*(M16*$U$2)</f>
        <v>87.27272727272728</v>
      </c>
      <c r="Y16" s="362">
        <f>U16*(M16*$AF$3)</f>
        <v>262.25454545454545</v>
      </c>
      <c r="Z16" s="362">
        <f>U16*(M16*$U$2)*$AF$4</f>
        <v>1468.8</v>
      </c>
      <c r="AA16" s="362">
        <f>Y16+Z16</f>
        <v>1731.0545454545454</v>
      </c>
      <c r="AB16" s="360">
        <f>Q16+R16+S16+T16+V16+AA16</f>
        <v>72400.06763636363</v>
      </c>
      <c r="AC16" s="271">
        <v>2100</v>
      </c>
      <c r="AD16" s="271">
        <v>8</v>
      </c>
      <c r="AE16" s="271">
        <f t="shared" si="2"/>
        <v>16800</v>
      </c>
      <c r="AF16" s="238">
        <f t="shared" si="3"/>
        <v>25242</v>
      </c>
      <c r="AG16" s="238">
        <f t="shared" si="4"/>
        <v>282744</v>
      </c>
      <c r="AH16" s="288">
        <f t="shared" si="5"/>
        <v>307986</v>
      </c>
      <c r="AI16" s="289">
        <f t="shared" si="6"/>
        <v>0.05</v>
      </c>
      <c r="AJ16" s="290">
        <f t="shared" si="7"/>
        <v>105</v>
      </c>
      <c r="AK16" s="290">
        <f t="shared" si="8"/>
        <v>840</v>
      </c>
      <c r="AL16" s="288">
        <f t="shared" si="9"/>
        <v>15399.300000000001</v>
      </c>
      <c r="AM16" s="288">
        <f t="shared" si="10"/>
        <v>1262.1000000000001</v>
      </c>
      <c r="AN16" s="288">
        <f t="shared" si="11"/>
        <v>14137.2</v>
      </c>
      <c r="AO16" s="242">
        <f t="shared" si="12"/>
        <v>380386.06763636362</v>
      </c>
      <c r="AP16" s="172">
        <f t="shared" si="0"/>
        <v>367333.08342583728</v>
      </c>
      <c r="AQ16" s="243">
        <f t="shared" si="13"/>
        <v>87799.367636363633</v>
      </c>
      <c r="AR16" s="243">
        <f t="shared" si="1"/>
        <v>74746.383425837324</v>
      </c>
    </row>
    <row r="17" spans="1:44" s="380" customFormat="1" ht="15" x14ac:dyDescent="0.25">
      <c r="A17" s="366"/>
      <c r="B17" s="366" t="s">
        <v>533</v>
      </c>
      <c r="C17" s="367" t="s">
        <v>537</v>
      </c>
      <c r="D17" s="367" t="s">
        <v>538</v>
      </c>
      <c r="E17" s="367" t="s">
        <v>539</v>
      </c>
      <c r="F17" s="367" t="s">
        <v>540</v>
      </c>
      <c r="G17" s="368">
        <v>42855</v>
      </c>
      <c r="H17" s="369">
        <v>5</v>
      </c>
      <c r="I17" s="367">
        <v>5</v>
      </c>
      <c r="J17" s="370"/>
      <c r="K17" s="370"/>
      <c r="L17" s="370"/>
      <c r="M17" s="371"/>
      <c r="N17" s="371"/>
      <c r="O17" s="371"/>
      <c r="P17" s="371"/>
      <c r="Q17" s="372"/>
      <c r="R17" s="372"/>
      <c r="S17" s="362">
        <f t="shared" ref="S17:S53" si="14">O17*$Q$3</f>
        <v>0</v>
      </c>
      <c r="T17" s="362">
        <f t="shared" ref="T17:T53" si="15">P17*$Q$4</f>
        <v>0</v>
      </c>
      <c r="U17" s="363">
        <f t="shared" ref="U17:U53" si="16">N17/$U$1</f>
        <v>0</v>
      </c>
      <c r="V17" s="364">
        <f t="shared" ref="V17:V53" si="17">IF(M17=0,0,U17*$U$3)</f>
        <v>0</v>
      </c>
      <c r="W17" s="362">
        <f t="shared" ref="W17:W53" si="18">M17*U17</f>
        <v>0</v>
      </c>
      <c r="X17" s="362">
        <f t="shared" ref="X17:X53" si="19">U17*(M17*$U$2)</f>
        <v>0</v>
      </c>
      <c r="Y17" s="362">
        <f t="shared" ref="Y17:Y53" si="20">U17*(M17*$AF$3)</f>
        <v>0</v>
      </c>
      <c r="Z17" s="362">
        <f t="shared" ref="Z17:Z53" si="21">U17*(M17*$U$2)*$AF$4</f>
        <v>0</v>
      </c>
      <c r="AA17" s="362">
        <f t="shared" ref="AA17:AA53" si="22">Y17+Z17</f>
        <v>0</v>
      </c>
      <c r="AB17" s="360">
        <f t="shared" ref="AB17:AB53" si="23">Q17+R17+S17+T17+V17+AA17</f>
        <v>0</v>
      </c>
      <c r="AC17" s="373"/>
      <c r="AD17" s="373"/>
      <c r="AE17" s="373">
        <f t="shared" si="2"/>
        <v>0</v>
      </c>
      <c r="AF17" s="374">
        <f t="shared" si="3"/>
        <v>0</v>
      </c>
      <c r="AG17" s="374">
        <f t="shared" si="4"/>
        <v>0</v>
      </c>
      <c r="AH17" s="375">
        <f t="shared" si="5"/>
        <v>0</v>
      </c>
      <c r="AI17" s="376">
        <f t="shared" si="6"/>
        <v>0.05</v>
      </c>
      <c r="AJ17" s="377">
        <f t="shared" si="7"/>
        <v>0</v>
      </c>
      <c r="AK17" s="377">
        <f t="shared" si="8"/>
        <v>0</v>
      </c>
      <c r="AL17" s="375">
        <f t="shared" si="9"/>
        <v>0</v>
      </c>
      <c r="AM17" s="375">
        <f t="shared" si="10"/>
        <v>0</v>
      </c>
      <c r="AN17" s="375">
        <f t="shared" si="11"/>
        <v>0</v>
      </c>
      <c r="AO17" s="312">
        <f t="shared" si="12"/>
        <v>0</v>
      </c>
      <c r="AP17" s="378">
        <f t="shared" si="0"/>
        <v>-7251.6578947368416</v>
      </c>
      <c r="AQ17" s="379">
        <f t="shared" si="13"/>
        <v>0</v>
      </c>
      <c r="AR17" s="379">
        <f t="shared" si="1"/>
        <v>-7251.6578947368416</v>
      </c>
    </row>
    <row r="18" spans="1:44" ht="15" x14ac:dyDescent="0.25">
      <c r="A18" s="381" t="s">
        <v>541</v>
      </c>
      <c r="B18" s="249" t="s">
        <v>533</v>
      </c>
      <c r="C18" s="249" t="s">
        <v>531</v>
      </c>
      <c r="D18" s="249" t="s">
        <v>534</v>
      </c>
      <c r="E18" s="249" t="s">
        <v>535</v>
      </c>
      <c r="F18" s="249" t="s">
        <v>536</v>
      </c>
      <c r="G18" s="260">
        <v>42860</v>
      </c>
      <c r="H18" s="252">
        <v>4</v>
      </c>
      <c r="I18" s="249">
        <v>4</v>
      </c>
      <c r="J18" s="382">
        <f>SUM(I18:I21)/(($K$8-$K$9)/$K$10)</f>
        <v>0.55200000000000005</v>
      </c>
      <c r="K18" s="383">
        <v>24000</v>
      </c>
      <c r="L18" s="384">
        <v>18462.72</v>
      </c>
      <c r="M18" s="385"/>
      <c r="N18" s="385"/>
      <c r="O18" s="385"/>
      <c r="P18" s="385"/>
      <c r="Q18" s="386"/>
      <c r="R18" s="387"/>
      <c r="S18" s="388">
        <f t="shared" si="14"/>
        <v>0</v>
      </c>
      <c r="T18" s="388">
        <f t="shared" si="15"/>
        <v>0</v>
      </c>
      <c r="U18" s="389">
        <f t="shared" si="16"/>
        <v>0</v>
      </c>
      <c r="V18" s="390">
        <f t="shared" si="17"/>
        <v>0</v>
      </c>
      <c r="W18" s="388">
        <f t="shared" si="18"/>
        <v>0</v>
      </c>
      <c r="X18" s="388">
        <f t="shared" si="19"/>
        <v>0</v>
      </c>
      <c r="Y18" s="388">
        <f t="shared" si="20"/>
        <v>0</v>
      </c>
      <c r="Z18" s="388">
        <f t="shared" si="21"/>
        <v>0</v>
      </c>
      <c r="AA18" s="388">
        <f t="shared" si="22"/>
        <v>0</v>
      </c>
      <c r="AB18" s="391">
        <f t="shared" si="23"/>
        <v>0</v>
      </c>
      <c r="AC18" s="387"/>
      <c r="AD18" s="387"/>
      <c r="AE18" s="392">
        <f t="shared" si="2"/>
        <v>0</v>
      </c>
      <c r="AF18" s="393">
        <f t="shared" si="3"/>
        <v>0</v>
      </c>
      <c r="AG18" s="393">
        <f t="shared" si="4"/>
        <v>0</v>
      </c>
      <c r="AH18" s="394">
        <f t="shared" si="5"/>
        <v>0</v>
      </c>
      <c r="AI18" s="395">
        <f t="shared" si="6"/>
        <v>0.05</v>
      </c>
      <c r="AJ18" s="396">
        <f t="shared" si="7"/>
        <v>0</v>
      </c>
      <c r="AK18" s="396">
        <f t="shared" si="8"/>
        <v>0</v>
      </c>
      <c r="AL18" s="394">
        <f t="shared" si="9"/>
        <v>0</v>
      </c>
      <c r="AM18" s="394">
        <f t="shared" si="10"/>
        <v>0</v>
      </c>
      <c r="AN18" s="394">
        <f t="shared" si="11"/>
        <v>0</v>
      </c>
      <c r="AO18" s="242">
        <f t="shared" si="12"/>
        <v>0</v>
      </c>
      <c r="AP18" s="172">
        <f t="shared" si="0"/>
        <v>-5801.3263157894735</v>
      </c>
      <c r="AQ18" s="243">
        <f t="shared" si="13"/>
        <v>0</v>
      </c>
      <c r="AR18" s="243">
        <f t="shared" si="1"/>
        <v>-5801.3263157894735</v>
      </c>
    </row>
    <row r="19" spans="1:44" ht="15" x14ac:dyDescent="0.25">
      <c r="A19" s="381"/>
      <c r="B19" s="249" t="s">
        <v>533</v>
      </c>
      <c r="C19" s="249" t="s">
        <v>542</v>
      </c>
      <c r="D19" s="249" t="s">
        <v>543</v>
      </c>
      <c r="E19" s="249" t="s">
        <v>544</v>
      </c>
      <c r="F19" s="249" t="s">
        <v>391</v>
      </c>
      <c r="G19" s="260">
        <v>42886</v>
      </c>
      <c r="H19" s="252">
        <v>13</v>
      </c>
      <c r="I19" s="249">
        <v>13</v>
      </c>
      <c r="J19" s="397"/>
      <c r="K19" s="383"/>
      <c r="L19" s="383"/>
      <c r="M19" s="387">
        <v>115</v>
      </c>
      <c r="N19" s="387">
        <v>20</v>
      </c>
      <c r="O19" s="387">
        <v>230</v>
      </c>
      <c r="P19" s="387">
        <v>1380</v>
      </c>
      <c r="Q19" s="386">
        <f>[2]Kennelhill!G26</f>
        <v>89664.265599999999</v>
      </c>
      <c r="R19" s="387">
        <f>[2]Kennelhill!G32</f>
        <v>20256</v>
      </c>
      <c r="S19" s="388">
        <f t="shared" si="14"/>
        <v>1382.3</v>
      </c>
      <c r="T19" s="388">
        <f t="shared" si="15"/>
        <v>11612.699999999999</v>
      </c>
      <c r="U19" s="389">
        <f t="shared" si="16"/>
        <v>0.36363636363636365</v>
      </c>
      <c r="V19" s="390">
        <f t="shared" si="17"/>
        <v>181.81818181818181</v>
      </c>
      <c r="W19" s="388">
        <f t="shared" si="18"/>
        <v>41.81818181818182</v>
      </c>
      <c r="X19" s="388">
        <f t="shared" si="19"/>
        <v>167.27272727272728</v>
      </c>
      <c r="Y19" s="388">
        <f t="shared" si="20"/>
        <v>502.65454545454543</v>
      </c>
      <c r="Z19" s="388">
        <f t="shared" si="21"/>
        <v>2815.2</v>
      </c>
      <c r="AA19" s="388">
        <f t="shared" si="22"/>
        <v>3317.8545454545451</v>
      </c>
      <c r="AB19" s="391">
        <f t="shared" si="23"/>
        <v>126414.93832727271</v>
      </c>
      <c r="AC19" s="387">
        <v>874</v>
      </c>
      <c r="AD19" s="387">
        <v>6</v>
      </c>
      <c r="AE19" s="392">
        <f t="shared" si="2"/>
        <v>5244</v>
      </c>
      <c r="AF19" s="393">
        <f t="shared" si="3"/>
        <v>10505.48</v>
      </c>
      <c r="AG19" s="393">
        <f t="shared" si="4"/>
        <v>88256.51999999999</v>
      </c>
      <c r="AH19" s="394">
        <f t="shared" si="5"/>
        <v>98761.999999999985</v>
      </c>
      <c r="AI19" s="395">
        <f t="shared" si="6"/>
        <v>0.05</v>
      </c>
      <c r="AJ19" s="396">
        <f t="shared" si="7"/>
        <v>43.7</v>
      </c>
      <c r="AK19" s="396">
        <f t="shared" si="8"/>
        <v>262.2</v>
      </c>
      <c r="AL19" s="394">
        <f t="shared" si="9"/>
        <v>4938.0999999999995</v>
      </c>
      <c r="AM19" s="394">
        <f t="shared" si="10"/>
        <v>525.274</v>
      </c>
      <c r="AN19" s="394">
        <f t="shared" si="11"/>
        <v>4412.826</v>
      </c>
      <c r="AO19" s="242">
        <f t="shared" si="12"/>
        <v>225176.93832727271</v>
      </c>
      <c r="AP19" s="172">
        <f t="shared" si="0"/>
        <v>206322.62780095692</v>
      </c>
      <c r="AQ19" s="243">
        <f t="shared" si="13"/>
        <v>131353.03832727272</v>
      </c>
      <c r="AR19" s="243">
        <f t="shared" si="1"/>
        <v>112498.72780095693</v>
      </c>
    </row>
    <row r="20" spans="1:44" ht="15" x14ac:dyDescent="0.25">
      <c r="A20" s="381"/>
      <c r="B20" s="249" t="s">
        <v>526</v>
      </c>
      <c r="C20" s="249" t="s">
        <v>531</v>
      </c>
      <c r="D20" s="249" t="s">
        <v>532</v>
      </c>
      <c r="E20" s="249" t="s">
        <v>532</v>
      </c>
      <c r="F20" s="249" t="s">
        <v>405</v>
      </c>
      <c r="G20" s="260">
        <v>42859</v>
      </c>
      <c r="H20" s="252">
        <v>1</v>
      </c>
      <c r="I20" s="249">
        <v>1</v>
      </c>
      <c r="J20" s="383"/>
      <c r="K20" s="383"/>
      <c r="L20" s="383"/>
      <c r="M20" s="385"/>
      <c r="N20" s="385"/>
      <c r="O20" s="385"/>
      <c r="P20" s="385"/>
      <c r="Q20" s="386"/>
      <c r="R20" s="387"/>
      <c r="S20" s="388">
        <f t="shared" si="14"/>
        <v>0</v>
      </c>
      <c r="T20" s="388">
        <f t="shared" si="15"/>
        <v>0</v>
      </c>
      <c r="U20" s="389">
        <f t="shared" si="16"/>
        <v>0</v>
      </c>
      <c r="V20" s="390">
        <f t="shared" si="17"/>
        <v>0</v>
      </c>
      <c r="W20" s="388">
        <f t="shared" si="18"/>
        <v>0</v>
      </c>
      <c r="X20" s="388">
        <f t="shared" si="19"/>
        <v>0</v>
      </c>
      <c r="Y20" s="388">
        <f t="shared" si="20"/>
        <v>0</v>
      </c>
      <c r="Z20" s="388">
        <f t="shared" si="21"/>
        <v>0</v>
      </c>
      <c r="AA20" s="388">
        <f t="shared" si="22"/>
        <v>0</v>
      </c>
      <c r="AB20" s="391">
        <f t="shared" si="23"/>
        <v>0</v>
      </c>
      <c r="AC20" s="387"/>
      <c r="AD20" s="387"/>
      <c r="AE20" s="392">
        <f t="shared" si="2"/>
        <v>0</v>
      </c>
      <c r="AF20" s="393">
        <f t="shared" si="3"/>
        <v>0</v>
      </c>
      <c r="AG20" s="393">
        <f t="shared" si="4"/>
        <v>0</v>
      </c>
      <c r="AH20" s="394">
        <f t="shared" si="5"/>
        <v>0</v>
      </c>
      <c r="AI20" s="395">
        <f t="shared" si="6"/>
        <v>0.05</v>
      </c>
      <c r="AJ20" s="396">
        <f t="shared" si="7"/>
        <v>0</v>
      </c>
      <c r="AK20" s="396">
        <f t="shared" si="8"/>
        <v>0</v>
      </c>
      <c r="AL20" s="394">
        <f t="shared" si="9"/>
        <v>0</v>
      </c>
      <c r="AM20" s="394">
        <f t="shared" si="10"/>
        <v>0</v>
      </c>
      <c r="AN20" s="394">
        <f t="shared" si="11"/>
        <v>0</v>
      </c>
      <c r="AO20" s="242">
        <f t="shared" si="12"/>
        <v>0</v>
      </c>
      <c r="AP20" s="172">
        <f t="shared" si="0"/>
        <v>-1450.3315789473684</v>
      </c>
      <c r="AQ20" s="243">
        <f t="shared" si="13"/>
        <v>0</v>
      </c>
      <c r="AR20" s="243">
        <f t="shared" si="1"/>
        <v>-1450.3315789473684</v>
      </c>
    </row>
    <row r="21" spans="1:44" s="408" customFormat="1" ht="15" x14ac:dyDescent="0.25">
      <c r="A21" s="398"/>
      <c r="B21" s="264" t="s">
        <v>526</v>
      </c>
      <c r="C21" s="264" t="s">
        <v>537</v>
      </c>
      <c r="D21" s="264" t="s">
        <v>534</v>
      </c>
      <c r="E21" s="264" t="s">
        <v>545</v>
      </c>
      <c r="F21" s="264" t="s">
        <v>540</v>
      </c>
      <c r="G21" s="262">
        <v>42875</v>
      </c>
      <c r="H21" s="263">
        <v>5</v>
      </c>
      <c r="I21" s="264">
        <v>5</v>
      </c>
      <c r="J21" s="399"/>
      <c r="K21" s="399"/>
      <c r="L21" s="399"/>
      <c r="M21" s="400"/>
      <c r="N21" s="400"/>
      <c r="O21" s="400"/>
      <c r="P21" s="400"/>
      <c r="Q21" s="401"/>
      <c r="R21" s="402"/>
      <c r="S21" s="388">
        <f t="shared" si="14"/>
        <v>0</v>
      </c>
      <c r="T21" s="388">
        <f t="shared" si="15"/>
        <v>0</v>
      </c>
      <c r="U21" s="389">
        <f t="shared" si="16"/>
        <v>0</v>
      </c>
      <c r="V21" s="390">
        <f t="shared" si="17"/>
        <v>0</v>
      </c>
      <c r="W21" s="388">
        <f t="shared" si="18"/>
        <v>0</v>
      </c>
      <c r="X21" s="388">
        <f t="shared" si="19"/>
        <v>0</v>
      </c>
      <c r="Y21" s="388">
        <f t="shared" si="20"/>
        <v>0</v>
      </c>
      <c r="Z21" s="388">
        <f t="shared" si="21"/>
        <v>0</v>
      </c>
      <c r="AA21" s="388">
        <f t="shared" si="22"/>
        <v>0</v>
      </c>
      <c r="AB21" s="391">
        <f t="shared" si="23"/>
        <v>0</v>
      </c>
      <c r="AC21" s="402"/>
      <c r="AD21" s="402"/>
      <c r="AE21" s="403">
        <f t="shared" si="2"/>
        <v>0</v>
      </c>
      <c r="AF21" s="404">
        <f t="shared" si="3"/>
        <v>0</v>
      </c>
      <c r="AG21" s="404">
        <f t="shared" si="4"/>
        <v>0</v>
      </c>
      <c r="AH21" s="405">
        <f t="shared" si="5"/>
        <v>0</v>
      </c>
      <c r="AI21" s="406">
        <f t="shared" si="6"/>
        <v>0.05</v>
      </c>
      <c r="AJ21" s="407">
        <f t="shared" si="7"/>
        <v>0</v>
      </c>
      <c r="AK21" s="407">
        <f t="shared" si="8"/>
        <v>0</v>
      </c>
      <c r="AL21" s="405">
        <f t="shared" si="9"/>
        <v>0</v>
      </c>
      <c r="AM21" s="405">
        <f t="shared" si="10"/>
        <v>0</v>
      </c>
      <c r="AN21" s="405">
        <f t="shared" si="11"/>
        <v>0</v>
      </c>
      <c r="AO21" s="312">
        <f t="shared" si="12"/>
        <v>0</v>
      </c>
      <c r="AP21" s="378">
        <f t="shared" si="0"/>
        <v>-7251.6578947368416</v>
      </c>
      <c r="AQ21" s="379">
        <f t="shared" si="13"/>
        <v>0</v>
      </c>
      <c r="AR21" s="379">
        <f t="shared" si="1"/>
        <v>-7251.6578947368416</v>
      </c>
    </row>
    <row r="22" spans="1:44" ht="15" x14ac:dyDescent="0.25">
      <c r="A22" s="345" t="s">
        <v>546</v>
      </c>
      <c r="B22" s="345" t="s">
        <v>533</v>
      </c>
      <c r="C22" s="266" t="s">
        <v>542</v>
      </c>
      <c r="D22" s="266" t="s">
        <v>543</v>
      </c>
      <c r="E22" s="266" t="s">
        <v>544</v>
      </c>
      <c r="F22" s="266" t="s">
        <v>391</v>
      </c>
      <c r="G22" s="268">
        <v>42895</v>
      </c>
      <c r="H22" s="269">
        <v>7</v>
      </c>
      <c r="I22" s="266">
        <v>7</v>
      </c>
      <c r="J22" s="349">
        <f>SUM(I22:I24)/(($K$8-$K$9)/$K$10)</f>
        <v>0.88800000000000001</v>
      </c>
      <c r="K22" s="350">
        <v>24000</v>
      </c>
      <c r="L22" s="351">
        <v>19321.939999999999</v>
      </c>
      <c r="M22" s="409"/>
      <c r="N22" s="410"/>
      <c r="O22" s="409"/>
      <c r="P22" s="409"/>
      <c r="Q22" s="411"/>
      <c r="R22" s="296"/>
      <c r="S22" s="362">
        <f t="shared" si="14"/>
        <v>0</v>
      </c>
      <c r="T22" s="362">
        <f t="shared" si="15"/>
        <v>0</v>
      </c>
      <c r="U22" s="363">
        <f t="shared" si="16"/>
        <v>0</v>
      </c>
      <c r="V22" s="364">
        <f t="shared" si="17"/>
        <v>0</v>
      </c>
      <c r="W22" s="362">
        <f t="shared" si="18"/>
        <v>0</v>
      </c>
      <c r="X22" s="362">
        <f t="shared" si="19"/>
        <v>0</v>
      </c>
      <c r="Y22" s="362">
        <f t="shared" si="20"/>
        <v>0</v>
      </c>
      <c r="Z22" s="362">
        <f t="shared" si="21"/>
        <v>0</v>
      </c>
      <c r="AA22" s="362">
        <f t="shared" si="22"/>
        <v>0</v>
      </c>
      <c r="AB22" s="360">
        <f t="shared" si="23"/>
        <v>0</v>
      </c>
      <c r="AC22" s="296"/>
      <c r="AD22" s="296"/>
      <c r="AE22" s="412">
        <f t="shared" si="2"/>
        <v>0</v>
      </c>
      <c r="AF22" s="413">
        <f t="shared" si="3"/>
        <v>0</v>
      </c>
      <c r="AG22" s="413">
        <f t="shared" si="4"/>
        <v>0</v>
      </c>
      <c r="AH22" s="414">
        <f t="shared" si="5"/>
        <v>0</v>
      </c>
      <c r="AI22" s="415">
        <f t="shared" si="6"/>
        <v>0.05</v>
      </c>
      <c r="AJ22" s="416">
        <f t="shared" si="7"/>
        <v>0</v>
      </c>
      <c r="AK22" s="416">
        <f t="shared" si="8"/>
        <v>0</v>
      </c>
      <c r="AL22" s="414">
        <f t="shared" si="9"/>
        <v>0</v>
      </c>
      <c r="AM22" s="414">
        <f t="shared" si="10"/>
        <v>0</v>
      </c>
      <c r="AN22" s="414">
        <f t="shared" si="11"/>
        <v>0</v>
      </c>
      <c r="AO22" s="242">
        <f t="shared" si="12"/>
        <v>0</v>
      </c>
      <c r="AP22" s="172">
        <f t="shared" si="0"/>
        <v>-10152.321052631578</v>
      </c>
      <c r="AQ22" s="243">
        <f t="shared" si="13"/>
        <v>0</v>
      </c>
      <c r="AR22" s="243">
        <f t="shared" si="1"/>
        <v>-10152.321052631578</v>
      </c>
    </row>
    <row r="23" spans="1:44" ht="15" x14ac:dyDescent="0.25">
      <c r="A23" s="345"/>
      <c r="B23" s="345" t="s">
        <v>533</v>
      </c>
      <c r="C23" s="266" t="s">
        <v>547</v>
      </c>
      <c r="D23" s="266" t="s">
        <v>548</v>
      </c>
      <c r="E23" s="266" t="s">
        <v>549</v>
      </c>
      <c r="F23" s="266" t="s">
        <v>405</v>
      </c>
      <c r="G23" s="268">
        <v>42916</v>
      </c>
      <c r="H23" s="269">
        <v>15</v>
      </c>
      <c r="I23" s="266">
        <v>15</v>
      </c>
      <c r="J23" s="354"/>
      <c r="K23" s="350"/>
      <c r="L23" s="350"/>
      <c r="M23" s="266">
        <v>423</v>
      </c>
      <c r="N23" s="266">
        <v>15</v>
      </c>
      <c r="O23" s="266">
        <v>846</v>
      </c>
      <c r="P23" s="266">
        <v>5076</v>
      </c>
      <c r="Q23" s="417">
        <f>[2]Ord!G26</f>
        <v>88338.207999999999</v>
      </c>
      <c r="R23" s="266">
        <f>[2]Ord!G32</f>
        <v>7388</v>
      </c>
      <c r="S23" s="362">
        <f t="shared" si="14"/>
        <v>5084.46</v>
      </c>
      <c r="T23" s="362">
        <f t="shared" si="15"/>
        <v>42714.539999999994</v>
      </c>
      <c r="U23" s="363">
        <f t="shared" si="16"/>
        <v>0.27272727272727271</v>
      </c>
      <c r="V23" s="364">
        <f t="shared" si="17"/>
        <v>136.36363636363635</v>
      </c>
      <c r="W23" s="362">
        <f t="shared" si="18"/>
        <v>115.36363636363636</v>
      </c>
      <c r="X23" s="362">
        <f t="shared" si="19"/>
        <v>461.45454545454544</v>
      </c>
      <c r="Y23" s="362">
        <f t="shared" si="20"/>
        <v>1386.6709090909089</v>
      </c>
      <c r="Z23" s="362">
        <f t="shared" si="21"/>
        <v>7766.2799999999988</v>
      </c>
      <c r="AA23" s="362">
        <f t="shared" si="22"/>
        <v>9152.9509090909087</v>
      </c>
      <c r="AB23" s="360">
        <f t="shared" si="23"/>
        <v>152814.52254545453</v>
      </c>
      <c r="AC23" s="266">
        <v>569</v>
      </c>
      <c r="AD23" s="266">
        <v>8</v>
      </c>
      <c r="AE23" s="412">
        <f t="shared" si="2"/>
        <v>4552</v>
      </c>
      <c r="AF23" s="413">
        <f t="shared" si="3"/>
        <v>6839.38</v>
      </c>
      <c r="AG23" s="413">
        <f t="shared" si="4"/>
        <v>76610.159999999989</v>
      </c>
      <c r="AH23" s="414">
        <f t="shared" si="5"/>
        <v>83449.539999999994</v>
      </c>
      <c r="AI23" s="415">
        <f t="shared" si="6"/>
        <v>0.05</v>
      </c>
      <c r="AJ23" s="416">
        <f t="shared" si="7"/>
        <v>28.450000000000003</v>
      </c>
      <c r="AK23" s="416">
        <f t="shared" si="8"/>
        <v>227.60000000000002</v>
      </c>
      <c r="AL23" s="414">
        <f t="shared" si="9"/>
        <v>4172.4769999999999</v>
      </c>
      <c r="AM23" s="414">
        <f t="shared" si="10"/>
        <v>341.96900000000005</v>
      </c>
      <c r="AN23" s="414">
        <f t="shared" si="11"/>
        <v>3830.5079999999998</v>
      </c>
      <c r="AO23" s="242">
        <f t="shared" si="12"/>
        <v>236264.06254545454</v>
      </c>
      <c r="AP23" s="172">
        <f t="shared" si="0"/>
        <v>214509.088861244</v>
      </c>
      <c r="AQ23" s="243">
        <f t="shared" si="13"/>
        <v>156986.99954545454</v>
      </c>
      <c r="AR23" s="243">
        <f t="shared" si="1"/>
        <v>135232.02586124401</v>
      </c>
    </row>
    <row r="24" spans="1:44" s="408" customFormat="1" ht="15" x14ac:dyDescent="0.25">
      <c r="A24" s="418"/>
      <c r="B24" s="418" t="s">
        <v>526</v>
      </c>
      <c r="C24" s="275" t="s">
        <v>537</v>
      </c>
      <c r="D24" s="275" t="s">
        <v>534</v>
      </c>
      <c r="E24" s="275" t="s">
        <v>545</v>
      </c>
      <c r="F24" s="275" t="s">
        <v>540</v>
      </c>
      <c r="G24" s="273">
        <v>42911</v>
      </c>
      <c r="H24" s="274">
        <v>15</v>
      </c>
      <c r="I24" s="275">
        <v>15</v>
      </c>
      <c r="J24" s="419"/>
      <c r="K24" s="419"/>
      <c r="L24" s="419"/>
      <c r="M24" s="400"/>
      <c r="N24" s="400"/>
      <c r="O24" s="400"/>
      <c r="P24" s="400"/>
      <c r="Q24" s="420"/>
      <c r="R24" s="421"/>
      <c r="S24" s="362">
        <f t="shared" si="14"/>
        <v>0</v>
      </c>
      <c r="T24" s="362">
        <f t="shared" si="15"/>
        <v>0</v>
      </c>
      <c r="U24" s="363">
        <f t="shared" si="16"/>
        <v>0</v>
      </c>
      <c r="V24" s="364">
        <f t="shared" si="17"/>
        <v>0</v>
      </c>
      <c r="W24" s="362">
        <f t="shared" si="18"/>
        <v>0</v>
      </c>
      <c r="X24" s="362">
        <f t="shared" si="19"/>
        <v>0</v>
      </c>
      <c r="Y24" s="362">
        <f t="shared" si="20"/>
        <v>0</v>
      </c>
      <c r="Z24" s="362">
        <f t="shared" si="21"/>
        <v>0</v>
      </c>
      <c r="AA24" s="362">
        <f t="shared" si="22"/>
        <v>0</v>
      </c>
      <c r="AB24" s="360">
        <f t="shared" si="23"/>
        <v>0</v>
      </c>
      <c r="AC24" s="421"/>
      <c r="AD24" s="421"/>
      <c r="AE24" s="373">
        <f t="shared" si="2"/>
        <v>0</v>
      </c>
      <c r="AF24" s="374">
        <f t="shared" si="3"/>
        <v>0</v>
      </c>
      <c r="AG24" s="374">
        <f t="shared" si="4"/>
        <v>0</v>
      </c>
      <c r="AH24" s="375">
        <f t="shared" si="5"/>
        <v>0</v>
      </c>
      <c r="AI24" s="376">
        <f t="shared" si="6"/>
        <v>0.05</v>
      </c>
      <c r="AJ24" s="377">
        <f t="shared" si="7"/>
        <v>0</v>
      </c>
      <c r="AK24" s="377">
        <f t="shared" si="8"/>
        <v>0</v>
      </c>
      <c r="AL24" s="375">
        <f t="shared" si="9"/>
        <v>0</v>
      </c>
      <c r="AM24" s="375">
        <f t="shared" si="10"/>
        <v>0</v>
      </c>
      <c r="AN24" s="375">
        <f t="shared" si="11"/>
        <v>0</v>
      </c>
      <c r="AO24" s="312">
        <f t="shared" si="12"/>
        <v>0</v>
      </c>
      <c r="AP24" s="378">
        <f t="shared" si="0"/>
        <v>-21754.973684210527</v>
      </c>
      <c r="AQ24" s="379">
        <f t="shared" si="13"/>
        <v>0</v>
      </c>
      <c r="AR24" s="379">
        <f t="shared" si="1"/>
        <v>-21754.973684210527</v>
      </c>
    </row>
    <row r="25" spans="1:44" ht="15" x14ac:dyDescent="0.25">
      <c r="A25" s="381" t="s">
        <v>550</v>
      </c>
      <c r="B25" s="249" t="s">
        <v>533</v>
      </c>
      <c r="C25" s="249" t="s">
        <v>542</v>
      </c>
      <c r="D25" s="249" t="s">
        <v>387</v>
      </c>
      <c r="E25" s="249" t="s">
        <v>551</v>
      </c>
      <c r="F25" s="249" t="s">
        <v>405</v>
      </c>
      <c r="G25" s="260">
        <v>42944</v>
      </c>
      <c r="H25" s="252">
        <v>20</v>
      </c>
      <c r="I25" s="249">
        <v>20</v>
      </c>
      <c r="J25" s="382">
        <f>SUM(I25:I27)/(($K$8-$K$9)/$K$10)</f>
        <v>0.74399999999999999</v>
      </c>
      <c r="K25" s="383">
        <v>24000</v>
      </c>
      <c r="L25" s="384">
        <v>22425.29</v>
      </c>
      <c r="M25" s="249">
        <v>508</v>
      </c>
      <c r="N25" s="249">
        <v>25</v>
      </c>
      <c r="O25" s="249">
        <v>1016</v>
      </c>
      <c r="P25" s="249">
        <v>4064</v>
      </c>
      <c r="Q25" s="422">
        <f>[2]Ormidale!G26</f>
        <v>63925</v>
      </c>
      <c r="R25" s="249">
        <f>[2]Ormidale!G32</f>
        <v>8068</v>
      </c>
      <c r="S25" s="388">
        <f t="shared" si="14"/>
        <v>6106.16</v>
      </c>
      <c r="T25" s="388">
        <f t="shared" si="15"/>
        <v>34198.559999999998</v>
      </c>
      <c r="U25" s="389">
        <f t="shared" si="16"/>
        <v>0.45454545454545453</v>
      </c>
      <c r="V25" s="390">
        <f t="shared" si="17"/>
        <v>227.27272727272725</v>
      </c>
      <c r="W25" s="388">
        <f t="shared" si="18"/>
        <v>230.90909090909091</v>
      </c>
      <c r="X25" s="388">
        <f t="shared" si="19"/>
        <v>923.63636363636363</v>
      </c>
      <c r="Y25" s="388">
        <f t="shared" si="20"/>
        <v>2775.5272727272727</v>
      </c>
      <c r="Z25" s="388">
        <f t="shared" si="21"/>
        <v>15544.799999999997</v>
      </c>
      <c r="AA25" s="388">
        <f t="shared" si="22"/>
        <v>18320.327272727271</v>
      </c>
      <c r="AB25" s="391">
        <f t="shared" si="23"/>
        <v>130845.31999999999</v>
      </c>
      <c r="AC25" s="249">
        <v>602</v>
      </c>
      <c r="AD25" s="249">
        <v>12</v>
      </c>
      <c r="AE25" s="392">
        <f t="shared" si="2"/>
        <v>7224</v>
      </c>
      <c r="AF25" s="393">
        <f t="shared" si="3"/>
        <v>7236.04</v>
      </c>
      <c r="AG25" s="393">
        <f t="shared" si="4"/>
        <v>121579.91999999998</v>
      </c>
      <c r="AH25" s="394">
        <f t="shared" si="5"/>
        <v>128815.95999999998</v>
      </c>
      <c r="AI25" s="395">
        <f t="shared" si="6"/>
        <v>0.05</v>
      </c>
      <c r="AJ25" s="396">
        <f t="shared" si="7"/>
        <v>30.1</v>
      </c>
      <c r="AK25" s="396">
        <f t="shared" si="8"/>
        <v>361.20000000000005</v>
      </c>
      <c r="AL25" s="394">
        <f t="shared" si="9"/>
        <v>6440.7979999999989</v>
      </c>
      <c r="AM25" s="394">
        <f t="shared" si="10"/>
        <v>361.80200000000002</v>
      </c>
      <c r="AN25" s="394">
        <f t="shared" si="11"/>
        <v>6078.9959999999992</v>
      </c>
      <c r="AO25" s="242">
        <f t="shared" si="12"/>
        <v>259661.27999999997</v>
      </c>
      <c r="AP25" s="172">
        <f t="shared" si="0"/>
        <v>230654.64842105261</v>
      </c>
      <c r="AQ25" s="243">
        <f t="shared" si="13"/>
        <v>137286.11799999999</v>
      </c>
      <c r="AR25" s="243">
        <f t="shared" si="1"/>
        <v>108279.48642105263</v>
      </c>
    </row>
    <row r="26" spans="1:44" ht="15" x14ac:dyDescent="0.25">
      <c r="A26" s="381"/>
      <c r="B26" s="249" t="s">
        <v>533</v>
      </c>
      <c r="C26" s="249" t="s">
        <v>547</v>
      </c>
      <c r="D26" s="249" t="s">
        <v>549</v>
      </c>
      <c r="E26" s="249" t="s">
        <v>552</v>
      </c>
      <c r="F26" s="249" t="s">
        <v>553</v>
      </c>
      <c r="G26" s="260">
        <v>42947</v>
      </c>
      <c r="H26" s="252">
        <v>1</v>
      </c>
      <c r="I26" s="249">
        <v>1</v>
      </c>
      <c r="J26" s="397"/>
      <c r="K26" s="383"/>
      <c r="L26" s="383"/>
      <c r="M26" s="249">
        <v>62</v>
      </c>
      <c r="N26" s="249">
        <v>10</v>
      </c>
      <c r="O26" s="249">
        <v>124</v>
      </c>
      <c r="P26" s="249">
        <v>496</v>
      </c>
      <c r="Q26" s="422">
        <f>[2]Balnafoich!G26</f>
        <v>46298.399999999994</v>
      </c>
      <c r="R26" s="422">
        <f>[2]Balnafoich!G32</f>
        <v>39480</v>
      </c>
      <c r="S26" s="388">
        <f t="shared" si="14"/>
        <v>745.24</v>
      </c>
      <c r="T26" s="388">
        <f t="shared" si="15"/>
        <v>4173.8399999999992</v>
      </c>
      <c r="U26" s="389">
        <f t="shared" si="16"/>
        <v>0.18181818181818182</v>
      </c>
      <c r="V26" s="390">
        <f t="shared" si="17"/>
        <v>90.909090909090907</v>
      </c>
      <c r="W26" s="388">
        <f t="shared" si="18"/>
        <v>11.272727272727273</v>
      </c>
      <c r="X26" s="388">
        <f t="shared" si="19"/>
        <v>45.090909090909093</v>
      </c>
      <c r="Y26" s="388">
        <f t="shared" si="20"/>
        <v>135.49818181818182</v>
      </c>
      <c r="Z26" s="388">
        <f t="shared" si="21"/>
        <v>758.88</v>
      </c>
      <c r="AA26" s="388">
        <f t="shared" si="22"/>
        <v>894.37818181818182</v>
      </c>
      <c r="AB26" s="391">
        <f t="shared" si="23"/>
        <v>91682.767272727273</v>
      </c>
      <c r="AC26" s="249">
        <v>0</v>
      </c>
      <c r="AD26" s="249">
        <v>0</v>
      </c>
      <c r="AE26" s="392">
        <f t="shared" si="2"/>
        <v>0</v>
      </c>
      <c r="AF26" s="393">
        <f t="shared" si="3"/>
        <v>0</v>
      </c>
      <c r="AG26" s="393">
        <f t="shared" si="4"/>
        <v>0</v>
      </c>
      <c r="AH26" s="394">
        <f t="shared" si="5"/>
        <v>0</v>
      </c>
      <c r="AI26" s="395">
        <f t="shared" si="6"/>
        <v>0.05</v>
      </c>
      <c r="AJ26" s="396">
        <f t="shared" si="7"/>
        <v>0</v>
      </c>
      <c r="AK26" s="396">
        <f t="shared" si="8"/>
        <v>0</v>
      </c>
      <c r="AL26" s="394">
        <f t="shared" si="9"/>
        <v>0</v>
      </c>
      <c r="AM26" s="394">
        <f t="shared" si="10"/>
        <v>0</v>
      </c>
      <c r="AN26" s="394">
        <f t="shared" si="11"/>
        <v>0</v>
      </c>
      <c r="AO26" s="242">
        <f t="shared" si="12"/>
        <v>91682.767272727273</v>
      </c>
      <c r="AP26" s="172">
        <f t="shared" si="0"/>
        <v>90232.435693779902</v>
      </c>
      <c r="AQ26" s="243">
        <f t="shared" si="13"/>
        <v>91682.767272727273</v>
      </c>
      <c r="AR26" s="243">
        <f t="shared" si="1"/>
        <v>90232.435693779902</v>
      </c>
    </row>
    <row r="27" spans="1:44" s="408" customFormat="1" ht="15" x14ac:dyDescent="0.25">
      <c r="A27" s="398"/>
      <c r="B27" s="264" t="s">
        <v>526</v>
      </c>
      <c r="C27" s="264" t="s">
        <v>537</v>
      </c>
      <c r="D27" s="264" t="s">
        <v>534</v>
      </c>
      <c r="E27" s="264" t="s">
        <v>554</v>
      </c>
      <c r="F27" s="264" t="s">
        <v>540</v>
      </c>
      <c r="G27" s="262">
        <v>42944</v>
      </c>
      <c r="H27" s="263">
        <v>10</v>
      </c>
      <c r="I27" s="264">
        <v>10</v>
      </c>
      <c r="J27" s="399"/>
      <c r="K27" s="399"/>
      <c r="L27" s="399"/>
      <c r="M27" s="400"/>
      <c r="N27" s="400"/>
      <c r="O27" s="400"/>
      <c r="P27" s="400"/>
      <c r="Q27" s="401"/>
      <c r="R27" s="402"/>
      <c r="S27" s="388">
        <f t="shared" si="14"/>
        <v>0</v>
      </c>
      <c r="T27" s="388">
        <f t="shared" si="15"/>
        <v>0</v>
      </c>
      <c r="U27" s="389">
        <f t="shared" si="16"/>
        <v>0</v>
      </c>
      <c r="V27" s="390">
        <f t="shared" si="17"/>
        <v>0</v>
      </c>
      <c r="W27" s="388">
        <f t="shared" si="18"/>
        <v>0</v>
      </c>
      <c r="X27" s="388">
        <f t="shared" si="19"/>
        <v>0</v>
      </c>
      <c r="Y27" s="388">
        <f t="shared" si="20"/>
        <v>0</v>
      </c>
      <c r="Z27" s="388">
        <f t="shared" si="21"/>
        <v>0</v>
      </c>
      <c r="AA27" s="388">
        <f t="shared" si="22"/>
        <v>0</v>
      </c>
      <c r="AB27" s="391">
        <f t="shared" si="23"/>
        <v>0</v>
      </c>
      <c r="AC27" s="264"/>
      <c r="AD27" s="264"/>
      <c r="AE27" s="403">
        <f t="shared" si="2"/>
        <v>0</v>
      </c>
      <c r="AF27" s="404">
        <f t="shared" si="3"/>
        <v>0</v>
      </c>
      <c r="AG27" s="404">
        <f t="shared" si="4"/>
        <v>0</v>
      </c>
      <c r="AH27" s="405">
        <f t="shared" si="5"/>
        <v>0</v>
      </c>
      <c r="AI27" s="406">
        <f t="shared" si="6"/>
        <v>0.05</v>
      </c>
      <c r="AJ27" s="407">
        <f t="shared" si="7"/>
        <v>0</v>
      </c>
      <c r="AK27" s="407">
        <f t="shared" si="8"/>
        <v>0</v>
      </c>
      <c r="AL27" s="405">
        <f t="shared" si="9"/>
        <v>0</v>
      </c>
      <c r="AM27" s="405">
        <f t="shared" si="10"/>
        <v>0</v>
      </c>
      <c r="AN27" s="405">
        <f t="shared" si="11"/>
        <v>0</v>
      </c>
      <c r="AO27" s="312">
        <f t="shared" si="12"/>
        <v>0</v>
      </c>
      <c r="AP27" s="378">
        <f t="shared" si="0"/>
        <v>-14503.315789473683</v>
      </c>
      <c r="AQ27" s="379">
        <f t="shared" si="13"/>
        <v>0</v>
      </c>
      <c r="AR27" s="379">
        <f t="shared" si="1"/>
        <v>-14503.315789473683</v>
      </c>
    </row>
    <row r="28" spans="1:44" ht="15" x14ac:dyDescent="0.25">
      <c r="A28" s="345" t="s">
        <v>555</v>
      </c>
      <c r="B28" s="345" t="s">
        <v>526</v>
      </c>
      <c r="C28" s="266" t="s">
        <v>547</v>
      </c>
      <c r="D28" s="266" t="s">
        <v>549</v>
      </c>
      <c r="E28" s="266" t="s">
        <v>552</v>
      </c>
      <c r="F28" s="266" t="s">
        <v>553</v>
      </c>
      <c r="G28" s="347">
        <v>42958</v>
      </c>
      <c r="H28" s="348">
        <v>11</v>
      </c>
      <c r="I28" s="346">
        <v>11</v>
      </c>
      <c r="J28" s="349">
        <f>SUM(I28:I30)/(($K$8-$K$9)/$K$10)</f>
        <v>0.81600000000000006</v>
      </c>
      <c r="K28" s="350">
        <v>24000</v>
      </c>
      <c r="L28" s="351">
        <v>12310.98</v>
      </c>
      <c r="M28" s="410"/>
      <c r="N28" s="410"/>
      <c r="O28" s="410"/>
      <c r="P28" s="410"/>
      <c r="Q28" s="417"/>
      <c r="R28" s="266"/>
      <c r="S28" s="362">
        <f t="shared" si="14"/>
        <v>0</v>
      </c>
      <c r="T28" s="362">
        <f t="shared" si="15"/>
        <v>0</v>
      </c>
      <c r="U28" s="363">
        <f t="shared" si="16"/>
        <v>0</v>
      </c>
      <c r="V28" s="364">
        <f t="shared" si="17"/>
        <v>0</v>
      </c>
      <c r="W28" s="362">
        <f t="shared" si="18"/>
        <v>0</v>
      </c>
      <c r="X28" s="362">
        <f t="shared" si="19"/>
        <v>0</v>
      </c>
      <c r="Y28" s="362">
        <f t="shared" si="20"/>
        <v>0</v>
      </c>
      <c r="Z28" s="362">
        <f t="shared" si="21"/>
        <v>0</v>
      </c>
      <c r="AA28" s="362">
        <f t="shared" si="22"/>
        <v>0</v>
      </c>
      <c r="AB28" s="360">
        <f t="shared" si="23"/>
        <v>0</v>
      </c>
      <c r="AC28" s="266"/>
      <c r="AD28" s="266"/>
      <c r="AE28" s="412">
        <f t="shared" si="2"/>
        <v>0</v>
      </c>
      <c r="AF28" s="413">
        <f t="shared" si="3"/>
        <v>0</v>
      </c>
      <c r="AG28" s="413">
        <f t="shared" si="4"/>
        <v>0</v>
      </c>
      <c r="AH28" s="414">
        <f t="shared" si="5"/>
        <v>0</v>
      </c>
      <c r="AI28" s="415">
        <f t="shared" si="6"/>
        <v>0.05</v>
      </c>
      <c r="AJ28" s="416">
        <f t="shared" si="7"/>
        <v>0</v>
      </c>
      <c r="AK28" s="416">
        <f t="shared" si="8"/>
        <v>0</v>
      </c>
      <c r="AL28" s="414">
        <f t="shared" si="9"/>
        <v>0</v>
      </c>
      <c r="AM28" s="414">
        <f t="shared" si="10"/>
        <v>0</v>
      </c>
      <c r="AN28" s="414">
        <f t="shared" si="11"/>
        <v>0</v>
      </c>
      <c r="AO28" s="242">
        <f t="shared" si="12"/>
        <v>0</v>
      </c>
      <c r="AP28" s="172">
        <f t="shared" si="0"/>
        <v>-15953.647368421052</v>
      </c>
      <c r="AQ28" s="243">
        <f t="shared" si="13"/>
        <v>0</v>
      </c>
      <c r="AR28" s="243">
        <f t="shared" si="1"/>
        <v>-15953.647368421052</v>
      </c>
    </row>
    <row r="29" spans="1:44" ht="15" x14ac:dyDescent="0.25">
      <c r="A29" s="345"/>
      <c r="B29" s="345" t="s">
        <v>526</v>
      </c>
      <c r="C29" s="266" t="s">
        <v>542</v>
      </c>
      <c r="D29" s="266" t="s">
        <v>387</v>
      </c>
      <c r="E29" s="266" t="s">
        <v>556</v>
      </c>
      <c r="F29" s="266" t="s">
        <v>498</v>
      </c>
      <c r="G29" s="268">
        <v>42965</v>
      </c>
      <c r="H29" s="269">
        <v>5</v>
      </c>
      <c r="I29" s="266">
        <v>5</v>
      </c>
      <c r="J29" s="354"/>
      <c r="K29" s="350"/>
      <c r="L29" s="351"/>
      <c r="M29" s="266">
        <v>30</v>
      </c>
      <c r="N29" s="266">
        <v>10</v>
      </c>
      <c r="O29" s="266">
        <v>60</v>
      </c>
      <c r="P29" s="266">
        <v>360</v>
      </c>
      <c r="Q29" s="417">
        <f>[2]Ardlamont!G26</f>
        <v>34745.536</v>
      </c>
      <c r="R29" s="266">
        <f>[2]Ardlamont!G32</f>
        <v>14344</v>
      </c>
      <c r="S29" s="362">
        <f t="shared" si="14"/>
        <v>360.59999999999997</v>
      </c>
      <c r="T29" s="362">
        <f t="shared" si="15"/>
        <v>3029.3999999999996</v>
      </c>
      <c r="U29" s="363">
        <f t="shared" si="16"/>
        <v>0.18181818181818182</v>
      </c>
      <c r="V29" s="364">
        <f t="shared" si="17"/>
        <v>90.909090909090907</v>
      </c>
      <c r="W29" s="362">
        <f t="shared" si="18"/>
        <v>5.454545454545455</v>
      </c>
      <c r="X29" s="362">
        <f t="shared" si="19"/>
        <v>21.81818181818182</v>
      </c>
      <c r="Y29" s="362">
        <f t="shared" si="20"/>
        <v>65.563636363636363</v>
      </c>
      <c r="Z29" s="362">
        <f t="shared" si="21"/>
        <v>367.2</v>
      </c>
      <c r="AA29" s="362">
        <f t="shared" si="22"/>
        <v>432.76363636363635</v>
      </c>
      <c r="AB29" s="360">
        <f t="shared" si="23"/>
        <v>53003.208727272722</v>
      </c>
      <c r="AC29" s="266">
        <v>0</v>
      </c>
      <c r="AD29" s="266">
        <v>0</v>
      </c>
      <c r="AE29" s="412">
        <f t="shared" si="2"/>
        <v>0</v>
      </c>
      <c r="AF29" s="413">
        <f t="shared" si="3"/>
        <v>0</v>
      </c>
      <c r="AG29" s="413">
        <f t="shared" si="4"/>
        <v>0</v>
      </c>
      <c r="AH29" s="414">
        <f t="shared" si="5"/>
        <v>0</v>
      </c>
      <c r="AI29" s="415">
        <f t="shared" si="6"/>
        <v>0.05</v>
      </c>
      <c r="AJ29" s="416">
        <f t="shared" si="7"/>
        <v>0</v>
      </c>
      <c r="AK29" s="416">
        <f t="shared" si="8"/>
        <v>0</v>
      </c>
      <c r="AL29" s="414">
        <f t="shared" si="9"/>
        <v>0</v>
      </c>
      <c r="AM29" s="414">
        <f t="shared" si="10"/>
        <v>0</v>
      </c>
      <c r="AN29" s="414">
        <f t="shared" si="11"/>
        <v>0</v>
      </c>
      <c r="AO29" s="242">
        <f t="shared" si="12"/>
        <v>53003.208727272722</v>
      </c>
      <c r="AP29" s="172">
        <f t="shared" si="0"/>
        <v>45751.550832535882</v>
      </c>
      <c r="AQ29" s="243">
        <f t="shared" si="13"/>
        <v>53003.208727272722</v>
      </c>
      <c r="AR29" s="243">
        <f t="shared" si="1"/>
        <v>45751.550832535882</v>
      </c>
    </row>
    <row r="30" spans="1:44" s="408" customFormat="1" ht="15" x14ac:dyDescent="0.25">
      <c r="A30" s="418"/>
      <c r="B30" s="418" t="s">
        <v>533</v>
      </c>
      <c r="C30" s="275" t="s">
        <v>537</v>
      </c>
      <c r="D30" s="275" t="s">
        <v>549</v>
      </c>
      <c r="E30" s="275" t="s">
        <v>552</v>
      </c>
      <c r="F30" s="275" t="s">
        <v>553</v>
      </c>
      <c r="G30" s="273">
        <v>42978</v>
      </c>
      <c r="H30" s="274">
        <v>18</v>
      </c>
      <c r="I30" s="275">
        <v>18</v>
      </c>
      <c r="J30" s="419"/>
      <c r="K30" s="419"/>
      <c r="L30" s="423"/>
      <c r="M30" s="400"/>
      <c r="N30" s="400"/>
      <c r="O30" s="400"/>
      <c r="P30" s="400"/>
      <c r="Q30" s="420"/>
      <c r="R30" s="421"/>
      <c r="S30" s="362">
        <f t="shared" si="14"/>
        <v>0</v>
      </c>
      <c r="T30" s="362">
        <f t="shared" si="15"/>
        <v>0</v>
      </c>
      <c r="U30" s="363">
        <f t="shared" si="16"/>
        <v>0</v>
      </c>
      <c r="V30" s="364">
        <f t="shared" si="17"/>
        <v>0</v>
      </c>
      <c r="W30" s="362">
        <f t="shared" si="18"/>
        <v>0</v>
      </c>
      <c r="X30" s="362">
        <f t="shared" si="19"/>
        <v>0</v>
      </c>
      <c r="Y30" s="362">
        <f t="shared" si="20"/>
        <v>0</v>
      </c>
      <c r="Z30" s="362">
        <f t="shared" si="21"/>
        <v>0</v>
      </c>
      <c r="AA30" s="362">
        <f t="shared" si="22"/>
        <v>0</v>
      </c>
      <c r="AB30" s="360">
        <f t="shared" si="23"/>
        <v>0</v>
      </c>
      <c r="AC30" s="421"/>
      <c r="AD30" s="421"/>
      <c r="AE30" s="373">
        <f t="shared" si="2"/>
        <v>0</v>
      </c>
      <c r="AF30" s="374">
        <f t="shared" si="3"/>
        <v>0</v>
      </c>
      <c r="AG30" s="374">
        <f t="shared" si="4"/>
        <v>0</v>
      </c>
      <c r="AH30" s="375">
        <f t="shared" si="5"/>
        <v>0</v>
      </c>
      <c r="AI30" s="376">
        <f t="shared" si="6"/>
        <v>0.05</v>
      </c>
      <c r="AJ30" s="377">
        <f t="shared" si="7"/>
        <v>0</v>
      </c>
      <c r="AK30" s="377">
        <f t="shared" si="8"/>
        <v>0</v>
      </c>
      <c r="AL30" s="375">
        <f t="shared" si="9"/>
        <v>0</v>
      </c>
      <c r="AM30" s="375">
        <f t="shared" si="10"/>
        <v>0</v>
      </c>
      <c r="AN30" s="375">
        <f t="shared" si="11"/>
        <v>0</v>
      </c>
      <c r="AO30" s="312">
        <f t="shared" si="12"/>
        <v>0</v>
      </c>
      <c r="AP30" s="378">
        <f t="shared" si="0"/>
        <v>-26105.968421052632</v>
      </c>
      <c r="AQ30" s="379">
        <f t="shared" si="13"/>
        <v>0</v>
      </c>
      <c r="AR30" s="379">
        <f t="shared" si="1"/>
        <v>-26105.968421052632</v>
      </c>
    </row>
    <row r="31" spans="1:44" ht="15" x14ac:dyDescent="0.25">
      <c r="A31" s="381" t="s">
        <v>557</v>
      </c>
      <c r="B31" s="249" t="s">
        <v>526</v>
      </c>
      <c r="C31" s="249" t="s">
        <v>542</v>
      </c>
      <c r="D31" s="249" t="s">
        <v>387</v>
      </c>
      <c r="E31" s="249" t="s">
        <v>556</v>
      </c>
      <c r="F31" s="249" t="s">
        <v>498</v>
      </c>
      <c r="G31" s="260">
        <v>42986</v>
      </c>
      <c r="H31" s="252">
        <v>5</v>
      </c>
      <c r="I31" s="249">
        <v>5</v>
      </c>
      <c r="J31" s="382">
        <f>SUM(I31:I34)/(($K$8-$K$9)/$K$10)</f>
        <v>0.84000000000000008</v>
      </c>
      <c r="K31" s="383">
        <v>24000</v>
      </c>
      <c r="L31" s="384">
        <v>9337.4</v>
      </c>
      <c r="M31" s="385"/>
      <c r="N31" s="385"/>
      <c r="O31" s="385"/>
      <c r="P31" s="385"/>
      <c r="Q31" s="386"/>
      <c r="R31" s="387"/>
      <c r="S31" s="388">
        <f t="shared" si="14"/>
        <v>0</v>
      </c>
      <c r="T31" s="388">
        <f t="shared" si="15"/>
        <v>0</v>
      </c>
      <c r="U31" s="389">
        <f t="shared" si="16"/>
        <v>0</v>
      </c>
      <c r="V31" s="390">
        <f t="shared" si="17"/>
        <v>0</v>
      </c>
      <c r="W31" s="388">
        <f t="shared" si="18"/>
        <v>0</v>
      </c>
      <c r="X31" s="388">
        <f t="shared" si="19"/>
        <v>0</v>
      </c>
      <c r="Y31" s="388">
        <f t="shared" si="20"/>
        <v>0</v>
      </c>
      <c r="Z31" s="388">
        <f t="shared" si="21"/>
        <v>0</v>
      </c>
      <c r="AA31" s="388">
        <f t="shared" si="22"/>
        <v>0</v>
      </c>
      <c r="AB31" s="391">
        <f t="shared" si="23"/>
        <v>0</v>
      </c>
      <c r="AC31" s="387"/>
      <c r="AD31" s="387"/>
      <c r="AE31" s="392">
        <f t="shared" si="2"/>
        <v>0</v>
      </c>
      <c r="AF31" s="393">
        <f t="shared" si="3"/>
        <v>0</v>
      </c>
      <c r="AG31" s="393">
        <f t="shared" si="4"/>
        <v>0</v>
      </c>
      <c r="AH31" s="394">
        <f t="shared" si="5"/>
        <v>0</v>
      </c>
      <c r="AI31" s="395">
        <f t="shared" si="6"/>
        <v>0.05</v>
      </c>
      <c r="AJ31" s="396">
        <f t="shared" si="7"/>
        <v>0</v>
      </c>
      <c r="AK31" s="396">
        <f t="shared" si="8"/>
        <v>0</v>
      </c>
      <c r="AL31" s="394">
        <f t="shared" si="9"/>
        <v>0</v>
      </c>
      <c r="AM31" s="394">
        <f t="shared" si="10"/>
        <v>0</v>
      </c>
      <c r="AN31" s="394">
        <f t="shared" si="11"/>
        <v>0</v>
      </c>
      <c r="AO31" s="242">
        <f t="shared" si="12"/>
        <v>0</v>
      </c>
      <c r="AP31" s="172">
        <f t="shared" si="0"/>
        <v>-7251.6578947368416</v>
      </c>
      <c r="AQ31" s="243">
        <f t="shared" si="13"/>
        <v>0</v>
      </c>
      <c r="AR31" s="243">
        <f t="shared" si="1"/>
        <v>-7251.6578947368416</v>
      </c>
    </row>
    <row r="32" spans="1:44" ht="15" x14ac:dyDescent="0.25">
      <c r="A32" s="381"/>
      <c r="B32" s="249" t="s">
        <v>526</v>
      </c>
      <c r="C32" s="249" t="s">
        <v>542</v>
      </c>
      <c r="D32" s="249" t="s">
        <v>387</v>
      </c>
      <c r="E32" s="249" t="s">
        <v>551</v>
      </c>
      <c r="F32" s="249" t="s">
        <v>405</v>
      </c>
      <c r="G32" s="260">
        <v>43000</v>
      </c>
      <c r="H32" s="252">
        <v>10</v>
      </c>
      <c r="I32" s="249">
        <v>10</v>
      </c>
      <c r="J32" s="397"/>
      <c r="K32" s="383"/>
      <c r="L32" s="384"/>
      <c r="M32" s="385"/>
      <c r="N32" s="385"/>
      <c r="O32" s="385"/>
      <c r="P32" s="385"/>
      <c r="Q32" s="386"/>
      <c r="R32" s="387"/>
      <c r="S32" s="388">
        <f t="shared" si="14"/>
        <v>0</v>
      </c>
      <c r="T32" s="388">
        <f t="shared" si="15"/>
        <v>0</v>
      </c>
      <c r="U32" s="389">
        <f t="shared" si="16"/>
        <v>0</v>
      </c>
      <c r="V32" s="390">
        <f t="shared" si="17"/>
        <v>0</v>
      </c>
      <c r="W32" s="388">
        <f t="shared" si="18"/>
        <v>0</v>
      </c>
      <c r="X32" s="388">
        <f t="shared" si="19"/>
        <v>0</v>
      </c>
      <c r="Y32" s="388">
        <f t="shared" si="20"/>
        <v>0</v>
      </c>
      <c r="Z32" s="388">
        <f t="shared" si="21"/>
        <v>0</v>
      </c>
      <c r="AA32" s="388">
        <f t="shared" si="22"/>
        <v>0</v>
      </c>
      <c r="AB32" s="391">
        <f t="shared" si="23"/>
        <v>0</v>
      </c>
      <c r="AC32" s="387"/>
      <c r="AD32" s="387"/>
      <c r="AE32" s="392">
        <f t="shared" si="2"/>
        <v>0</v>
      </c>
      <c r="AF32" s="393">
        <f t="shared" si="3"/>
        <v>0</v>
      </c>
      <c r="AG32" s="393">
        <f t="shared" si="4"/>
        <v>0</v>
      </c>
      <c r="AH32" s="394">
        <f t="shared" si="5"/>
        <v>0</v>
      </c>
      <c r="AI32" s="395">
        <f t="shared" si="6"/>
        <v>0.05</v>
      </c>
      <c r="AJ32" s="396">
        <f t="shared" si="7"/>
        <v>0</v>
      </c>
      <c r="AK32" s="396">
        <f t="shared" si="8"/>
        <v>0</v>
      </c>
      <c r="AL32" s="394">
        <f t="shared" si="9"/>
        <v>0</v>
      </c>
      <c r="AM32" s="394">
        <f t="shared" si="10"/>
        <v>0</v>
      </c>
      <c r="AN32" s="394">
        <f t="shared" si="11"/>
        <v>0</v>
      </c>
      <c r="AO32" s="242">
        <f t="shared" si="12"/>
        <v>0</v>
      </c>
      <c r="AP32" s="172">
        <f t="shared" si="0"/>
        <v>-14503.315789473683</v>
      </c>
      <c r="AQ32" s="243">
        <f t="shared" si="13"/>
        <v>0</v>
      </c>
      <c r="AR32" s="243">
        <f t="shared" si="1"/>
        <v>-14503.315789473683</v>
      </c>
    </row>
    <row r="33" spans="1:44" ht="15" x14ac:dyDescent="0.25">
      <c r="A33" s="381"/>
      <c r="B33" s="249" t="s">
        <v>526</v>
      </c>
      <c r="C33" s="249" t="s">
        <v>547</v>
      </c>
      <c r="D33" s="249" t="s">
        <v>549</v>
      </c>
      <c r="E33" s="249" t="s">
        <v>558</v>
      </c>
      <c r="F33" s="249" t="s">
        <v>530</v>
      </c>
      <c r="G33" s="260">
        <v>43007</v>
      </c>
      <c r="H33" s="252">
        <v>5</v>
      </c>
      <c r="I33" s="249">
        <v>5</v>
      </c>
      <c r="J33" s="397"/>
      <c r="K33" s="383"/>
      <c r="L33" s="384"/>
      <c r="M33" s="387">
        <v>90</v>
      </c>
      <c r="N33" s="387">
        <v>10</v>
      </c>
      <c r="O33" s="387">
        <v>180</v>
      </c>
      <c r="P33" s="387">
        <v>1080</v>
      </c>
      <c r="Q33" s="386">
        <f>[2]Barevan!G26</f>
        <v>64089.120000000003</v>
      </c>
      <c r="R33" s="387">
        <f>[2]Barevan!G32</f>
        <v>9064</v>
      </c>
      <c r="S33" s="388">
        <f t="shared" si="14"/>
        <v>1081.8</v>
      </c>
      <c r="T33" s="388">
        <f t="shared" si="15"/>
        <v>9088.1999999999989</v>
      </c>
      <c r="U33" s="389">
        <f t="shared" si="16"/>
        <v>0.18181818181818182</v>
      </c>
      <c r="V33" s="390">
        <f t="shared" si="17"/>
        <v>90.909090909090907</v>
      </c>
      <c r="W33" s="388">
        <f t="shared" si="18"/>
        <v>16.363636363636363</v>
      </c>
      <c r="X33" s="388">
        <f t="shared" si="19"/>
        <v>65.454545454545453</v>
      </c>
      <c r="Y33" s="388">
        <f t="shared" si="20"/>
        <v>196.69090909090909</v>
      </c>
      <c r="Z33" s="388">
        <f t="shared" si="21"/>
        <v>1101.5999999999999</v>
      </c>
      <c r="AA33" s="388">
        <f t="shared" si="22"/>
        <v>1298.2909090909091</v>
      </c>
      <c r="AB33" s="391">
        <f t="shared" si="23"/>
        <v>84712.319999999992</v>
      </c>
      <c r="AC33" s="387">
        <v>0</v>
      </c>
      <c r="AD33" s="387">
        <v>0</v>
      </c>
      <c r="AE33" s="392">
        <f t="shared" si="2"/>
        <v>0</v>
      </c>
      <c r="AF33" s="393">
        <f t="shared" si="3"/>
        <v>0</v>
      </c>
      <c r="AG33" s="393">
        <f t="shared" si="4"/>
        <v>0</v>
      </c>
      <c r="AH33" s="394">
        <f t="shared" si="5"/>
        <v>0</v>
      </c>
      <c r="AI33" s="395">
        <f t="shared" si="6"/>
        <v>0.05</v>
      </c>
      <c r="AJ33" s="396">
        <f t="shared" si="7"/>
        <v>0</v>
      </c>
      <c r="AK33" s="396">
        <f t="shared" si="8"/>
        <v>0</v>
      </c>
      <c r="AL33" s="394">
        <f t="shared" si="9"/>
        <v>0</v>
      </c>
      <c r="AM33" s="394">
        <f t="shared" si="10"/>
        <v>0</v>
      </c>
      <c r="AN33" s="394">
        <f t="shared" si="11"/>
        <v>0</v>
      </c>
      <c r="AO33" s="242">
        <f t="shared" si="12"/>
        <v>84712.319999999992</v>
      </c>
      <c r="AP33" s="172">
        <f t="shared" si="0"/>
        <v>77460.662105263153</v>
      </c>
      <c r="AQ33" s="243">
        <f t="shared" si="13"/>
        <v>84712.319999999992</v>
      </c>
      <c r="AR33" s="243">
        <f t="shared" si="1"/>
        <v>77460.662105263153</v>
      </c>
    </row>
    <row r="34" spans="1:44" s="408" customFormat="1" ht="15" x14ac:dyDescent="0.25">
      <c r="A34" s="398"/>
      <c r="B34" s="264" t="s">
        <v>533</v>
      </c>
      <c r="C34" s="402" t="s">
        <v>537</v>
      </c>
      <c r="D34" s="402" t="s">
        <v>549</v>
      </c>
      <c r="E34" s="402" t="s">
        <v>558</v>
      </c>
      <c r="F34" s="402" t="s">
        <v>530</v>
      </c>
      <c r="G34" s="262">
        <v>43007</v>
      </c>
      <c r="H34" s="263">
        <v>15</v>
      </c>
      <c r="I34" s="264">
        <v>15</v>
      </c>
      <c r="J34" s="399"/>
      <c r="K34" s="399"/>
      <c r="L34" s="424"/>
      <c r="M34" s="400"/>
      <c r="N34" s="400"/>
      <c r="O34" s="400"/>
      <c r="P34" s="400"/>
      <c r="Q34" s="401"/>
      <c r="R34" s="402"/>
      <c r="S34" s="388">
        <f t="shared" si="14"/>
        <v>0</v>
      </c>
      <c r="T34" s="388">
        <f t="shared" si="15"/>
        <v>0</v>
      </c>
      <c r="U34" s="389">
        <f t="shared" si="16"/>
        <v>0</v>
      </c>
      <c r="V34" s="390">
        <f t="shared" si="17"/>
        <v>0</v>
      </c>
      <c r="W34" s="388">
        <f t="shared" si="18"/>
        <v>0</v>
      </c>
      <c r="X34" s="388">
        <f t="shared" si="19"/>
        <v>0</v>
      </c>
      <c r="Y34" s="388">
        <f t="shared" si="20"/>
        <v>0</v>
      </c>
      <c r="Z34" s="388">
        <f t="shared" si="21"/>
        <v>0</v>
      </c>
      <c r="AA34" s="388">
        <f t="shared" si="22"/>
        <v>0</v>
      </c>
      <c r="AB34" s="391">
        <f t="shared" si="23"/>
        <v>0</v>
      </c>
      <c r="AC34" s="402"/>
      <c r="AD34" s="402"/>
      <c r="AE34" s="403">
        <f t="shared" si="2"/>
        <v>0</v>
      </c>
      <c r="AF34" s="404">
        <f t="shared" si="3"/>
        <v>0</v>
      </c>
      <c r="AG34" s="404">
        <f t="shared" si="4"/>
        <v>0</v>
      </c>
      <c r="AH34" s="405">
        <f t="shared" si="5"/>
        <v>0</v>
      </c>
      <c r="AI34" s="406">
        <f t="shared" si="6"/>
        <v>0.05</v>
      </c>
      <c r="AJ34" s="407">
        <f t="shared" si="7"/>
        <v>0</v>
      </c>
      <c r="AK34" s="407">
        <f t="shared" si="8"/>
        <v>0</v>
      </c>
      <c r="AL34" s="405">
        <f t="shared" si="9"/>
        <v>0</v>
      </c>
      <c r="AM34" s="405">
        <f t="shared" si="10"/>
        <v>0</v>
      </c>
      <c r="AN34" s="405">
        <f t="shared" si="11"/>
        <v>0</v>
      </c>
      <c r="AO34" s="312">
        <f t="shared" si="12"/>
        <v>0</v>
      </c>
      <c r="AP34" s="378">
        <f t="shared" si="0"/>
        <v>-21754.973684210527</v>
      </c>
      <c r="AQ34" s="379">
        <f t="shared" si="13"/>
        <v>0</v>
      </c>
      <c r="AR34" s="379">
        <f t="shared" si="1"/>
        <v>-21754.973684210527</v>
      </c>
    </row>
    <row r="35" spans="1:44" ht="15" x14ac:dyDescent="0.25">
      <c r="A35" s="345" t="s">
        <v>559</v>
      </c>
      <c r="B35" s="345" t="s">
        <v>526</v>
      </c>
      <c r="C35" s="266" t="s">
        <v>527</v>
      </c>
      <c r="D35" s="266" t="s">
        <v>549</v>
      </c>
      <c r="E35" s="266" t="s">
        <v>558</v>
      </c>
      <c r="F35" s="266" t="s">
        <v>530</v>
      </c>
      <c r="G35" s="268">
        <v>43014</v>
      </c>
      <c r="H35" s="269">
        <v>5</v>
      </c>
      <c r="I35" s="266">
        <v>5</v>
      </c>
      <c r="J35" s="349">
        <f>SUM(I35:I38)/(($K$8-$K$9)/$K$10)</f>
        <v>0.48000000000000004</v>
      </c>
      <c r="K35" s="350">
        <v>24000</v>
      </c>
      <c r="L35" s="351">
        <v>20164.38</v>
      </c>
      <c r="M35" s="410"/>
      <c r="N35" s="410"/>
      <c r="O35" s="410"/>
      <c r="P35" s="410"/>
      <c r="Q35" s="417"/>
      <c r="R35" s="266"/>
      <c r="S35" s="362">
        <f t="shared" si="14"/>
        <v>0</v>
      </c>
      <c r="T35" s="362">
        <f t="shared" si="15"/>
        <v>0</v>
      </c>
      <c r="U35" s="363">
        <f t="shared" si="16"/>
        <v>0</v>
      </c>
      <c r="V35" s="364">
        <f t="shared" si="17"/>
        <v>0</v>
      </c>
      <c r="W35" s="362">
        <f t="shared" si="18"/>
        <v>0</v>
      </c>
      <c r="X35" s="362">
        <f t="shared" si="19"/>
        <v>0</v>
      </c>
      <c r="Y35" s="362">
        <f t="shared" si="20"/>
        <v>0</v>
      </c>
      <c r="Z35" s="362">
        <f t="shared" si="21"/>
        <v>0</v>
      </c>
      <c r="AA35" s="362">
        <f t="shared" si="22"/>
        <v>0</v>
      </c>
      <c r="AB35" s="360">
        <f t="shared" si="23"/>
        <v>0</v>
      </c>
      <c r="AC35" s="346"/>
      <c r="AD35" s="346"/>
      <c r="AE35" s="412">
        <f t="shared" si="2"/>
        <v>0</v>
      </c>
      <c r="AF35" s="413">
        <f t="shared" si="3"/>
        <v>0</v>
      </c>
      <c r="AG35" s="413">
        <f t="shared" si="4"/>
        <v>0</v>
      </c>
      <c r="AH35" s="414">
        <f t="shared" si="5"/>
        <v>0</v>
      </c>
      <c r="AI35" s="415">
        <f t="shared" si="6"/>
        <v>0.05</v>
      </c>
      <c r="AJ35" s="416">
        <f t="shared" si="7"/>
        <v>0</v>
      </c>
      <c r="AK35" s="416">
        <f t="shared" si="8"/>
        <v>0</v>
      </c>
      <c r="AL35" s="414">
        <f t="shared" si="9"/>
        <v>0</v>
      </c>
      <c r="AM35" s="414">
        <f t="shared" si="10"/>
        <v>0</v>
      </c>
      <c r="AN35" s="414">
        <f t="shared" si="11"/>
        <v>0</v>
      </c>
      <c r="AO35" s="242">
        <f t="shared" si="12"/>
        <v>0</v>
      </c>
      <c r="AP35" s="172">
        <f t="shared" si="0"/>
        <v>-7251.6578947368416</v>
      </c>
      <c r="AQ35" s="243">
        <f t="shared" si="13"/>
        <v>0</v>
      </c>
      <c r="AR35" s="243">
        <f t="shared" si="1"/>
        <v>-7251.6578947368416</v>
      </c>
    </row>
    <row r="36" spans="1:44" ht="15" x14ac:dyDescent="0.25">
      <c r="A36" s="345"/>
      <c r="B36" s="345" t="s">
        <v>526</v>
      </c>
      <c r="C36" s="266" t="s">
        <v>527</v>
      </c>
      <c r="D36" s="266" t="s">
        <v>560</v>
      </c>
      <c r="E36" s="266" t="s">
        <v>561</v>
      </c>
      <c r="F36" s="266" t="s">
        <v>514</v>
      </c>
      <c r="G36" s="268">
        <v>43021</v>
      </c>
      <c r="H36" s="269">
        <v>5</v>
      </c>
      <c r="I36" s="266">
        <v>5</v>
      </c>
      <c r="J36" s="349"/>
      <c r="K36" s="350"/>
      <c r="L36" s="351"/>
      <c r="M36" s="266">
        <v>0</v>
      </c>
      <c r="N36" s="266">
        <v>15</v>
      </c>
      <c r="O36" s="266">
        <v>0</v>
      </c>
      <c r="P36" s="266">
        <v>0</v>
      </c>
      <c r="Q36" s="417">
        <v>0</v>
      </c>
      <c r="R36" s="266">
        <v>0</v>
      </c>
      <c r="S36" s="362">
        <f t="shared" si="14"/>
        <v>0</v>
      </c>
      <c r="T36" s="362">
        <f t="shared" si="15"/>
        <v>0</v>
      </c>
      <c r="U36" s="363">
        <f t="shared" si="16"/>
        <v>0.27272727272727271</v>
      </c>
      <c r="V36" s="364">
        <f t="shared" si="17"/>
        <v>0</v>
      </c>
      <c r="W36" s="362">
        <f t="shared" si="18"/>
        <v>0</v>
      </c>
      <c r="X36" s="362">
        <f t="shared" si="19"/>
        <v>0</v>
      </c>
      <c r="Y36" s="362">
        <f t="shared" si="20"/>
        <v>0</v>
      </c>
      <c r="Z36" s="362">
        <f t="shared" si="21"/>
        <v>0</v>
      </c>
      <c r="AA36" s="362">
        <f t="shared" si="22"/>
        <v>0</v>
      </c>
      <c r="AB36" s="360">
        <f t="shared" si="23"/>
        <v>0</v>
      </c>
      <c r="AC36" s="346">
        <v>5312</v>
      </c>
      <c r="AD36" s="346">
        <v>12</v>
      </c>
      <c r="AE36" s="412">
        <f t="shared" si="2"/>
        <v>63744</v>
      </c>
      <c r="AF36" s="413">
        <f t="shared" si="3"/>
        <v>63850.239999999998</v>
      </c>
      <c r="AG36" s="413">
        <f t="shared" si="4"/>
        <v>1072811.5199999998</v>
      </c>
      <c r="AH36" s="414">
        <f t="shared" si="5"/>
        <v>1136661.7599999998</v>
      </c>
      <c r="AI36" s="415">
        <f t="shared" si="6"/>
        <v>0.05</v>
      </c>
      <c r="AJ36" s="416">
        <f t="shared" si="7"/>
        <v>265.60000000000002</v>
      </c>
      <c r="AK36" s="416">
        <f t="shared" si="8"/>
        <v>3187.2000000000003</v>
      </c>
      <c r="AL36" s="414">
        <f t="shared" si="9"/>
        <v>56833.087999999989</v>
      </c>
      <c r="AM36" s="414">
        <f t="shared" si="10"/>
        <v>3192.5120000000002</v>
      </c>
      <c r="AN36" s="414">
        <f t="shared" si="11"/>
        <v>53640.575999999994</v>
      </c>
      <c r="AO36" s="242">
        <f t="shared" si="12"/>
        <v>1136661.7599999998</v>
      </c>
      <c r="AP36" s="172">
        <f t="shared" si="0"/>
        <v>1129410.1021052629</v>
      </c>
      <c r="AQ36" s="243">
        <f t="shared" si="13"/>
        <v>56833.087999999989</v>
      </c>
      <c r="AR36" s="243">
        <f t="shared" si="1"/>
        <v>49581.430105263149</v>
      </c>
    </row>
    <row r="37" spans="1:44" ht="15" x14ac:dyDescent="0.25">
      <c r="A37" s="345"/>
      <c r="B37" s="345" t="s">
        <v>526</v>
      </c>
      <c r="C37" s="266" t="s">
        <v>542</v>
      </c>
      <c r="D37" s="266" t="s">
        <v>387</v>
      </c>
      <c r="E37" s="266" t="s">
        <v>562</v>
      </c>
      <c r="F37" s="266" t="s">
        <v>405</v>
      </c>
      <c r="G37" s="268">
        <v>43028</v>
      </c>
      <c r="H37" s="269">
        <v>5</v>
      </c>
      <c r="I37" s="266">
        <v>5</v>
      </c>
      <c r="J37" s="349"/>
      <c r="K37" s="350"/>
      <c r="L37" s="351"/>
      <c r="M37" s="266">
        <v>36</v>
      </c>
      <c r="N37" s="266">
        <v>4</v>
      </c>
      <c r="O37" s="266">
        <v>72</v>
      </c>
      <c r="P37" s="266">
        <v>288</v>
      </c>
      <c r="Q37" s="417">
        <f>[2]Lindsaig!G26</f>
        <v>13985.912</v>
      </c>
      <c r="R37" s="266">
        <f>[2]Lindsaig!G32</f>
        <v>2084</v>
      </c>
      <c r="S37" s="362">
        <f t="shared" si="14"/>
        <v>432.71999999999997</v>
      </c>
      <c r="T37" s="362">
        <f t="shared" si="15"/>
        <v>2423.5199999999995</v>
      </c>
      <c r="U37" s="363">
        <f t="shared" si="16"/>
        <v>7.2727272727272724E-2</v>
      </c>
      <c r="V37" s="364">
        <f t="shared" si="17"/>
        <v>36.36363636363636</v>
      </c>
      <c r="W37" s="362">
        <f t="shared" si="18"/>
        <v>2.6181818181818182</v>
      </c>
      <c r="X37" s="362">
        <f t="shared" si="19"/>
        <v>10.472727272727273</v>
      </c>
      <c r="Y37" s="362">
        <f t="shared" si="20"/>
        <v>31.470545454545451</v>
      </c>
      <c r="Z37" s="362">
        <f t="shared" si="21"/>
        <v>176.25599999999997</v>
      </c>
      <c r="AA37" s="362">
        <f t="shared" si="22"/>
        <v>207.72654545454543</v>
      </c>
      <c r="AB37" s="360">
        <f t="shared" si="23"/>
        <v>19170.242181818183</v>
      </c>
      <c r="AC37" s="266">
        <v>247</v>
      </c>
      <c r="AD37" s="346">
        <v>8</v>
      </c>
      <c r="AE37" s="412">
        <f t="shared" si="2"/>
        <v>1976</v>
      </c>
      <c r="AF37" s="413">
        <f t="shared" si="3"/>
        <v>2968.94</v>
      </c>
      <c r="AG37" s="413">
        <f t="shared" si="4"/>
        <v>33256.079999999994</v>
      </c>
      <c r="AH37" s="414">
        <f t="shared" si="5"/>
        <v>36225.019999999997</v>
      </c>
      <c r="AI37" s="415">
        <f t="shared" si="6"/>
        <v>0.05</v>
      </c>
      <c r="AJ37" s="416">
        <f t="shared" si="7"/>
        <v>12.350000000000001</v>
      </c>
      <c r="AK37" s="416">
        <f t="shared" si="8"/>
        <v>98.800000000000011</v>
      </c>
      <c r="AL37" s="414">
        <f t="shared" si="9"/>
        <v>1811.251</v>
      </c>
      <c r="AM37" s="414">
        <f t="shared" si="10"/>
        <v>148.447</v>
      </c>
      <c r="AN37" s="414">
        <f t="shared" si="11"/>
        <v>1662.8039999999999</v>
      </c>
      <c r="AO37" s="242">
        <f t="shared" si="12"/>
        <v>55395.26218181818</v>
      </c>
      <c r="AP37" s="172">
        <f t="shared" si="0"/>
        <v>48143.60428708134</v>
      </c>
      <c r="AQ37" s="243">
        <f t="shared" si="13"/>
        <v>20981.493181818183</v>
      </c>
      <c r="AR37" s="243">
        <f t="shared" si="1"/>
        <v>13729.835287081341</v>
      </c>
    </row>
    <row r="38" spans="1:44" ht="15" x14ac:dyDescent="0.25">
      <c r="A38" s="345"/>
      <c r="B38" s="345" t="s">
        <v>526</v>
      </c>
      <c r="C38" s="266" t="s">
        <v>542</v>
      </c>
      <c r="D38" s="266" t="s">
        <v>387</v>
      </c>
      <c r="E38" s="266" t="s">
        <v>556</v>
      </c>
      <c r="F38" s="266" t="s">
        <v>402</v>
      </c>
      <c r="G38" s="268">
        <v>43035</v>
      </c>
      <c r="H38" s="269">
        <v>5</v>
      </c>
      <c r="I38" s="266">
        <v>5</v>
      </c>
      <c r="J38" s="354"/>
      <c r="K38" s="350"/>
      <c r="L38" s="351"/>
      <c r="M38" s="410"/>
      <c r="N38" s="410"/>
      <c r="O38" s="410"/>
      <c r="P38" s="410"/>
      <c r="Q38" s="417"/>
      <c r="R38" s="266"/>
      <c r="S38" s="362">
        <f t="shared" si="14"/>
        <v>0</v>
      </c>
      <c r="T38" s="362">
        <f t="shared" si="15"/>
        <v>0</v>
      </c>
      <c r="U38" s="363">
        <f t="shared" si="16"/>
        <v>0</v>
      </c>
      <c r="V38" s="364">
        <f t="shared" si="17"/>
        <v>0</v>
      </c>
      <c r="W38" s="362">
        <f t="shared" si="18"/>
        <v>0</v>
      </c>
      <c r="X38" s="362">
        <f t="shared" si="19"/>
        <v>0</v>
      </c>
      <c r="Y38" s="362">
        <f t="shared" si="20"/>
        <v>0</v>
      </c>
      <c r="Z38" s="362">
        <f t="shared" si="21"/>
        <v>0</v>
      </c>
      <c r="AA38" s="362">
        <f t="shared" si="22"/>
        <v>0</v>
      </c>
      <c r="AB38" s="360">
        <f t="shared" si="23"/>
        <v>0</v>
      </c>
      <c r="AC38" s="346"/>
      <c r="AD38" s="346"/>
      <c r="AE38" s="412">
        <f t="shared" si="2"/>
        <v>0</v>
      </c>
      <c r="AF38" s="413">
        <f t="shared" si="3"/>
        <v>0</v>
      </c>
      <c r="AG38" s="413">
        <f t="shared" si="4"/>
        <v>0</v>
      </c>
      <c r="AH38" s="414">
        <f t="shared" si="5"/>
        <v>0</v>
      </c>
      <c r="AI38" s="415">
        <f t="shared" si="6"/>
        <v>0.05</v>
      </c>
      <c r="AJ38" s="416">
        <f t="shared" si="7"/>
        <v>0</v>
      </c>
      <c r="AK38" s="416">
        <f t="shared" si="8"/>
        <v>0</v>
      </c>
      <c r="AL38" s="414">
        <f t="shared" si="9"/>
        <v>0</v>
      </c>
      <c r="AM38" s="414">
        <f t="shared" si="10"/>
        <v>0</v>
      </c>
      <c r="AN38" s="414">
        <f t="shared" si="11"/>
        <v>0</v>
      </c>
      <c r="AO38" s="242">
        <f t="shared" si="12"/>
        <v>0</v>
      </c>
      <c r="AP38" s="172">
        <f t="shared" si="0"/>
        <v>-7251.6578947368416</v>
      </c>
      <c r="AQ38" s="243">
        <f t="shared" si="13"/>
        <v>0</v>
      </c>
      <c r="AR38" s="243">
        <f t="shared" si="1"/>
        <v>-7251.6578947368416</v>
      </c>
    </row>
    <row r="39" spans="1:44" ht="15" x14ac:dyDescent="0.25">
      <c r="A39" s="345"/>
      <c r="B39" s="345" t="s">
        <v>526</v>
      </c>
      <c r="C39" s="266" t="s">
        <v>563</v>
      </c>
      <c r="D39" s="266" t="s">
        <v>486</v>
      </c>
      <c r="E39" s="266" t="s">
        <v>564</v>
      </c>
      <c r="F39" s="266" t="s">
        <v>396</v>
      </c>
      <c r="G39" s="268">
        <v>43039</v>
      </c>
      <c r="H39" s="269">
        <v>2</v>
      </c>
      <c r="I39" s="266">
        <v>2</v>
      </c>
      <c r="J39" s="354"/>
      <c r="K39" s="350"/>
      <c r="L39" s="351"/>
      <c r="M39" s="266">
        <v>204</v>
      </c>
      <c r="N39" s="266">
        <v>15</v>
      </c>
      <c r="O39" s="266">
        <v>406</v>
      </c>
      <c r="P39" s="266">
        <v>1632</v>
      </c>
      <c r="Q39" s="417">
        <f>[2]Inver!G26</f>
        <v>50648.68</v>
      </c>
      <c r="R39" s="266">
        <f>[2]Inver!G32</f>
        <v>5916</v>
      </c>
      <c r="S39" s="362">
        <f t="shared" si="14"/>
        <v>2440.06</v>
      </c>
      <c r="T39" s="362">
        <f t="shared" si="15"/>
        <v>13733.279999999999</v>
      </c>
      <c r="U39" s="363">
        <f t="shared" si="16"/>
        <v>0.27272727272727271</v>
      </c>
      <c r="V39" s="364">
        <f t="shared" si="17"/>
        <v>136.36363636363635</v>
      </c>
      <c r="W39" s="362">
        <f t="shared" si="18"/>
        <v>55.636363636363633</v>
      </c>
      <c r="X39" s="362">
        <f t="shared" si="19"/>
        <v>222.54545454545453</v>
      </c>
      <c r="Y39" s="362">
        <f t="shared" si="20"/>
        <v>668.7490909090908</v>
      </c>
      <c r="Z39" s="362">
        <f t="shared" si="21"/>
        <v>3745.4399999999996</v>
      </c>
      <c r="AA39" s="362">
        <f t="shared" si="22"/>
        <v>4414.1890909090907</v>
      </c>
      <c r="AB39" s="360">
        <f t="shared" si="23"/>
        <v>77288.572727272709</v>
      </c>
      <c r="AC39" s="346">
        <v>328</v>
      </c>
      <c r="AD39" s="346">
        <v>4</v>
      </c>
      <c r="AE39" s="412">
        <f t="shared" si="2"/>
        <v>1312</v>
      </c>
      <c r="AF39" s="413">
        <f t="shared" si="3"/>
        <v>3942.56</v>
      </c>
      <c r="AG39" s="413">
        <f t="shared" si="4"/>
        <v>22080.959999999999</v>
      </c>
      <c r="AH39" s="414">
        <f t="shared" si="5"/>
        <v>26023.52</v>
      </c>
      <c r="AI39" s="415">
        <f t="shared" si="6"/>
        <v>0.05</v>
      </c>
      <c r="AJ39" s="416">
        <f t="shared" si="7"/>
        <v>16.400000000000002</v>
      </c>
      <c r="AK39" s="416">
        <f t="shared" si="8"/>
        <v>65.600000000000009</v>
      </c>
      <c r="AL39" s="414">
        <f t="shared" si="9"/>
        <v>1301.1760000000002</v>
      </c>
      <c r="AM39" s="414">
        <f t="shared" si="10"/>
        <v>197.12800000000001</v>
      </c>
      <c r="AN39" s="414">
        <f t="shared" si="11"/>
        <v>1104.048</v>
      </c>
      <c r="AO39" s="242">
        <f t="shared" si="12"/>
        <v>103312.09272727271</v>
      </c>
      <c r="AP39" s="172">
        <f t="shared" si="0"/>
        <v>100411.42956937797</v>
      </c>
      <c r="AQ39" s="243">
        <f t="shared" si="13"/>
        <v>78589.748727272716</v>
      </c>
      <c r="AR39" s="243">
        <f t="shared" si="1"/>
        <v>75689.085569377974</v>
      </c>
    </row>
    <row r="40" spans="1:44" ht="15" x14ac:dyDescent="0.25">
      <c r="A40" s="381" t="s">
        <v>565</v>
      </c>
      <c r="B40" s="249" t="s">
        <v>526</v>
      </c>
      <c r="C40" s="249" t="s">
        <v>563</v>
      </c>
      <c r="D40" s="249" t="s">
        <v>486</v>
      </c>
      <c r="E40" s="249" t="s">
        <v>564</v>
      </c>
      <c r="F40" s="249" t="s">
        <v>396</v>
      </c>
      <c r="G40" s="260">
        <v>43049</v>
      </c>
      <c r="H40" s="252">
        <v>8</v>
      </c>
      <c r="I40" s="249">
        <v>8</v>
      </c>
      <c r="J40" s="382">
        <f>SUM(I40:I42)/(($K$8-$K$9)/$K$10)</f>
        <v>0.81600000000000006</v>
      </c>
      <c r="K40" s="383">
        <v>24000</v>
      </c>
      <c r="L40" s="384">
        <v>12885.99</v>
      </c>
      <c r="M40" s="385"/>
      <c r="N40" s="385"/>
      <c r="O40" s="385"/>
      <c r="P40" s="385"/>
      <c r="Q40" s="386"/>
      <c r="R40" s="387"/>
      <c r="S40" s="388">
        <f t="shared" si="14"/>
        <v>0</v>
      </c>
      <c r="T40" s="388">
        <f t="shared" si="15"/>
        <v>0</v>
      </c>
      <c r="U40" s="389">
        <f t="shared" si="16"/>
        <v>0</v>
      </c>
      <c r="V40" s="390">
        <f t="shared" si="17"/>
        <v>0</v>
      </c>
      <c r="W40" s="388">
        <f t="shared" si="18"/>
        <v>0</v>
      </c>
      <c r="X40" s="388">
        <f t="shared" si="19"/>
        <v>0</v>
      </c>
      <c r="Y40" s="388">
        <f t="shared" si="20"/>
        <v>0</v>
      </c>
      <c r="Z40" s="388">
        <f t="shared" si="21"/>
        <v>0</v>
      </c>
      <c r="AA40" s="388">
        <f t="shared" si="22"/>
        <v>0</v>
      </c>
      <c r="AB40" s="391">
        <f t="shared" si="23"/>
        <v>0</v>
      </c>
      <c r="AC40" s="387"/>
      <c r="AD40" s="387"/>
      <c r="AE40" s="392">
        <f t="shared" si="2"/>
        <v>0</v>
      </c>
      <c r="AF40" s="393">
        <f t="shared" si="3"/>
        <v>0</v>
      </c>
      <c r="AG40" s="393">
        <f t="shared" si="4"/>
        <v>0</v>
      </c>
      <c r="AH40" s="394">
        <f t="shared" si="5"/>
        <v>0</v>
      </c>
      <c r="AI40" s="395">
        <f t="shared" si="6"/>
        <v>0.05</v>
      </c>
      <c r="AJ40" s="396">
        <f t="shared" si="7"/>
        <v>0</v>
      </c>
      <c r="AK40" s="396">
        <f t="shared" si="8"/>
        <v>0</v>
      </c>
      <c r="AL40" s="394">
        <f t="shared" si="9"/>
        <v>0</v>
      </c>
      <c r="AM40" s="394">
        <f t="shared" si="10"/>
        <v>0</v>
      </c>
      <c r="AN40" s="394">
        <f t="shared" si="11"/>
        <v>0</v>
      </c>
      <c r="AO40" s="242">
        <f t="shared" si="12"/>
        <v>0</v>
      </c>
      <c r="AP40" s="172">
        <f t="shared" si="0"/>
        <v>-11602.652631578947</v>
      </c>
      <c r="AQ40" s="243">
        <f t="shared" si="13"/>
        <v>0</v>
      </c>
      <c r="AR40" s="243">
        <f t="shared" si="1"/>
        <v>-11602.652631578947</v>
      </c>
    </row>
    <row r="41" spans="1:44" ht="15" x14ac:dyDescent="0.25">
      <c r="A41" s="381"/>
      <c r="B41" s="249" t="s">
        <v>526</v>
      </c>
      <c r="C41" s="249" t="s">
        <v>566</v>
      </c>
      <c r="D41" s="249" t="s">
        <v>387</v>
      </c>
      <c r="E41" s="249" t="s">
        <v>567</v>
      </c>
      <c r="F41" s="249" t="s">
        <v>402</v>
      </c>
      <c r="G41" s="260">
        <v>43069</v>
      </c>
      <c r="H41" s="252">
        <v>14</v>
      </c>
      <c r="I41" s="249">
        <v>14</v>
      </c>
      <c r="J41" s="397"/>
      <c r="K41" s="383"/>
      <c r="L41" s="384"/>
      <c r="M41" s="387">
        <v>138</v>
      </c>
      <c r="N41" s="387">
        <v>24</v>
      </c>
      <c r="O41" s="387">
        <v>276</v>
      </c>
      <c r="P41" s="387">
        <v>2208</v>
      </c>
      <c r="Q41" s="386">
        <f>[2]Dalmally!G26</f>
        <v>71995.132799999992</v>
      </c>
      <c r="R41" s="387">
        <f>[2]Dalmally!G32</f>
        <v>6432</v>
      </c>
      <c r="S41" s="388">
        <f t="shared" si="14"/>
        <v>1658.76</v>
      </c>
      <c r="T41" s="388">
        <f t="shared" si="15"/>
        <v>18580.32</v>
      </c>
      <c r="U41" s="389">
        <f t="shared" si="16"/>
        <v>0.43636363636363634</v>
      </c>
      <c r="V41" s="390">
        <f t="shared" si="17"/>
        <v>218.18181818181816</v>
      </c>
      <c r="W41" s="388">
        <f t="shared" si="18"/>
        <v>60.218181818181819</v>
      </c>
      <c r="X41" s="388">
        <f t="shared" si="19"/>
        <v>240.87272727272727</v>
      </c>
      <c r="Y41" s="388">
        <f t="shared" si="20"/>
        <v>723.82254545454543</v>
      </c>
      <c r="Z41" s="388">
        <f t="shared" si="21"/>
        <v>4053.8879999999995</v>
      </c>
      <c r="AA41" s="388">
        <f t="shared" si="22"/>
        <v>4777.7105454545454</v>
      </c>
      <c r="AB41" s="391">
        <f t="shared" si="23"/>
        <v>103662.10516363636</v>
      </c>
      <c r="AC41" s="387">
        <v>0</v>
      </c>
      <c r="AD41" s="387">
        <v>0</v>
      </c>
      <c r="AE41" s="392">
        <f t="shared" si="2"/>
        <v>0</v>
      </c>
      <c r="AF41" s="393">
        <f t="shared" si="3"/>
        <v>0</v>
      </c>
      <c r="AG41" s="393">
        <f t="shared" si="4"/>
        <v>0</v>
      </c>
      <c r="AH41" s="394">
        <f t="shared" si="5"/>
        <v>0</v>
      </c>
      <c r="AI41" s="395">
        <f t="shared" si="6"/>
        <v>0.05</v>
      </c>
      <c r="AJ41" s="396">
        <f t="shared" si="7"/>
        <v>0</v>
      </c>
      <c r="AK41" s="396">
        <f t="shared" si="8"/>
        <v>0</v>
      </c>
      <c r="AL41" s="394">
        <f t="shared" si="9"/>
        <v>0</v>
      </c>
      <c r="AM41" s="394">
        <f t="shared" si="10"/>
        <v>0</v>
      </c>
      <c r="AN41" s="394">
        <f t="shared" si="11"/>
        <v>0</v>
      </c>
      <c r="AO41" s="242">
        <f t="shared" si="12"/>
        <v>103662.10516363636</v>
      </c>
      <c r="AP41" s="172">
        <f t="shared" si="0"/>
        <v>83357.463058373192</v>
      </c>
      <c r="AQ41" s="243">
        <f t="shared" si="13"/>
        <v>103662.10516363636</v>
      </c>
      <c r="AR41" s="243">
        <f t="shared" si="1"/>
        <v>83357.463058373192</v>
      </c>
    </row>
    <row r="42" spans="1:44" s="408" customFormat="1" ht="15" x14ac:dyDescent="0.25">
      <c r="A42" s="398"/>
      <c r="B42" s="264" t="s">
        <v>533</v>
      </c>
      <c r="C42" s="402" t="s">
        <v>537</v>
      </c>
      <c r="D42" s="264" t="s">
        <v>409</v>
      </c>
      <c r="E42" s="264" t="s">
        <v>568</v>
      </c>
      <c r="F42" s="264" t="s">
        <v>405</v>
      </c>
      <c r="G42" s="262">
        <v>43069</v>
      </c>
      <c r="H42" s="263">
        <v>12</v>
      </c>
      <c r="I42" s="264">
        <v>12</v>
      </c>
      <c r="J42" s="399"/>
      <c r="K42" s="399"/>
      <c r="L42" s="424"/>
      <c r="M42" s="400"/>
      <c r="N42" s="400"/>
      <c r="O42" s="400"/>
      <c r="P42" s="400"/>
      <c r="Q42" s="401"/>
      <c r="R42" s="402"/>
      <c r="S42" s="388">
        <f t="shared" si="14"/>
        <v>0</v>
      </c>
      <c r="T42" s="388">
        <f t="shared" si="15"/>
        <v>0</v>
      </c>
      <c r="U42" s="389">
        <f t="shared" si="16"/>
        <v>0</v>
      </c>
      <c r="V42" s="390">
        <f t="shared" si="17"/>
        <v>0</v>
      </c>
      <c r="W42" s="388">
        <f t="shared" si="18"/>
        <v>0</v>
      </c>
      <c r="X42" s="388">
        <f t="shared" si="19"/>
        <v>0</v>
      </c>
      <c r="Y42" s="388">
        <f t="shared" si="20"/>
        <v>0</v>
      </c>
      <c r="Z42" s="388">
        <f t="shared" si="21"/>
        <v>0</v>
      </c>
      <c r="AA42" s="388">
        <f t="shared" si="22"/>
        <v>0</v>
      </c>
      <c r="AB42" s="391">
        <f t="shared" si="23"/>
        <v>0</v>
      </c>
      <c r="AC42" s="402"/>
      <c r="AD42" s="402"/>
      <c r="AE42" s="403">
        <f t="shared" si="2"/>
        <v>0</v>
      </c>
      <c r="AF42" s="404">
        <f t="shared" si="3"/>
        <v>0</v>
      </c>
      <c r="AG42" s="404">
        <f t="shared" si="4"/>
        <v>0</v>
      </c>
      <c r="AH42" s="405">
        <f t="shared" si="5"/>
        <v>0</v>
      </c>
      <c r="AI42" s="406">
        <f t="shared" si="6"/>
        <v>0.05</v>
      </c>
      <c r="AJ42" s="407">
        <f t="shared" si="7"/>
        <v>0</v>
      </c>
      <c r="AK42" s="407">
        <f t="shared" si="8"/>
        <v>0</v>
      </c>
      <c r="AL42" s="405">
        <f t="shared" si="9"/>
        <v>0</v>
      </c>
      <c r="AM42" s="405">
        <f t="shared" si="10"/>
        <v>0</v>
      </c>
      <c r="AN42" s="405">
        <f t="shared" si="11"/>
        <v>0</v>
      </c>
      <c r="AO42" s="312">
        <f t="shared" si="12"/>
        <v>0</v>
      </c>
      <c r="AP42" s="378">
        <f t="shared" si="0"/>
        <v>-17403.978947368421</v>
      </c>
      <c r="AQ42" s="379">
        <f t="shared" si="13"/>
        <v>0</v>
      </c>
      <c r="AR42" s="379">
        <f t="shared" si="1"/>
        <v>-17403.978947368421</v>
      </c>
    </row>
    <row r="43" spans="1:44" ht="15" x14ac:dyDescent="0.25">
      <c r="A43" s="345" t="s">
        <v>569</v>
      </c>
      <c r="B43" s="345" t="s">
        <v>526</v>
      </c>
      <c r="C43" s="266" t="s">
        <v>566</v>
      </c>
      <c r="D43" s="266" t="s">
        <v>387</v>
      </c>
      <c r="E43" s="346" t="s">
        <v>567</v>
      </c>
      <c r="F43" s="346" t="s">
        <v>402</v>
      </c>
      <c r="G43" s="268">
        <v>43077</v>
      </c>
      <c r="H43" s="348">
        <v>6</v>
      </c>
      <c r="I43" s="266">
        <v>6</v>
      </c>
      <c r="J43" s="349">
        <f>SUM(I43:I45)/(($K$8-$K$9)/$K$10)</f>
        <v>0.504</v>
      </c>
      <c r="K43" s="350">
        <v>24000</v>
      </c>
      <c r="L43" s="351">
        <v>14490.63</v>
      </c>
      <c r="M43" s="385"/>
      <c r="N43" s="385"/>
      <c r="O43" s="385"/>
      <c r="P43" s="385"/>
      <c r="Q43" s="352"/>
      <c r="R43" s="346"/>
      <c r="S43" s="362">
        <f t="shared" si="14"/>
        <v>0</v>
      </c>
      <c r="T43" s="362">
        <f t="shared" si="15"/>
        <v>0</v>
      </c>
      <c r="U43" s="363">
        <f t="shared" si="16"/>
        <v>0</v>
      </c>
      <c r="V43" s="364">
        <f t="shared" si="17"/>
        <v>0</v>
      </c>
      <c r="W43" s="362">
        <f t="shared" si="18"/>
        <v>0</v>
      </c>
      <c r="X43" s="362">
        <f t="shared" si="19"/>
        <v>0</v>
      </c>
      <c r="Y43" s="362">
        <f t="shared" si="20"/>
        <v>0</v>
      </c>
      <c r="Z43" s="362">
        <f t="shared" si="21"/>
        <v>0</v>
      </c>
      <c r="AA43" s="362">
        <f t="shared" si="22"/>
        <v>0</v>
      </c>
      <c r="AB43" s="360">
        <f t="shared" si="23"/>
        <v>0</v>
      </c>
      <c r="AC43" s="346"/>
      <c r="AD43" s="346"/>
      <c r="AE43" s="412">
        <f t="shared" si="2"/>
        <v>0</v>
      </c>
      <c r="AF43" s="413">
        <f t="shared" si="3"/>
        <v>0</v>
      </c>
      <c r="AG43" s="413">
        <f t="shared" si="4"/>
        <v>0</v>
      </c>
      <c r="AH43" s="414">
        <f t="shared" si="5"/>
        <v>0</v>
      </c>
      <c r="AI43" s="415">
        <f t="shared" si="6"/>
        <v>0.05</v>
      </c>
      <c r="AJ43" s="416">
        <f t="shared" si="7"/>
        <v>0</v>
      </c>
      <c r="AK43" s="416">
        <f t="shared" si="8"/>
        <v>0</v>
      </c>
      <c r="AL43" s="414">
        <f t="shared" si="9"/>
        <v>0</v>
      </c>
      <c r="AM43" s="414">
        <f t="shared" si="10"/>
        <v>0</v>
      </c>
      <c r="AN43" s="414">
        <f t="shared" si="11"/>
        <v>0</v>
      </c>
      <c r="AO43" s="242">
        <f t="shared" si="12"/>
        <v>0</v>
      </c>
      <c r="AP43" s="172">
        <f t="shared" si="0"/>
        <v>-8701.9894736842107</v>
      </c>
      <c r="AQ43" s="243">
        <f t="shared" si="13"/>
        <v>0</v>
      </c>
      <c r="AR43" s="243">
        <f t="shared" si="1"/>
        <v>-8701.9894736842107</v>
      </c>
    </row>
    <row r="44" spans="1:44" ht="15" x14ac:dyDescent="0.25">
      <c r="A44" s="345"/>
      <c r="B44" s="345" t="s">
        <v>533</v>
      </c>
      <c r="C44" s="266" t="s">
        <v>527</v>
      </c>
      <c r="D44" s="266" t="s">
        <v>409</v>
      </c>
      <c r="E44" s="346" t="s">
        <v>568</v>
      </c>
      <c r="F44" s="346" t="s">
        <v>405</v>
      </c>
      <c r="G44" s="268">
        <v>43084</v>
      </c>
      <c r="H44" s="348">
        <v>10</v>
      </c>
      <c r="I44" s="266">
        <v>10</v>
      </c>
      <c r="J44" s="354"/>
      <c r="K44" s="350"/>
      <c r="L44" s="351"/>
      <c r="M44" s="346">
        <v>252</v>
      </c>
      <c r="N44" s="346">
        <v>10</v>
      </c>
      <c r="O44" s="346">
        <v>504</v>
      </c>
      <c r="P44" s="346">
        <v>2016</v>
      </c>
      <c r="Q44" s="352">
        <f>'[2]Roy Bridge'!G26</f>
        <v>57857.296000000002</v>
      </c>
      <c r="R44" s="346">
        <f>'[2]Roy Bridge'!G32</f>
        <v>5416</v>
      </c>
      <c r="S44" s="362">
        <f t="shared" si="14"/>
        <v>3029.04</v>
      </c>
      <c r="T44" s="362">
        <f t="shared" si="15"/>
        <v>16964.64</v>
      </c>
      <c r="U44" s="363">
        <f t="shared" si="16"/>
        <v>0.18181818181818182</v>
      </c>
      <c r="V44" s="364">
        <f t="shared" si="17"/>
        <v>90.909090909090907</v>
      </c>
      <c r="W44" s="362">
        <f t="shared" si="18"/>
        <v>45.81818181818182</v>
      </c>
      <c r="X44" s="362">
        <f t="shared" si="19"/>
        <v>183.27272727272728</v>
      </c>
      <c r="Y44" s="362">
        <f t="shared" si="20"/>
        <v>550.73454545454547</v>
      </c>
      <c r="Z44" s="362">
        <f t="shared" si="21"/>
        <v>3084.48</v>
      </c>
      <c r="AA44" s="362">
        <f t="shared" si="22"/>
        <v>3635.2145454545453</v>
      </c>
      <c r="AB44" s="360">
        <f t="shared" si="23"/>
        <v>86993.099636363622</v>
      </c>
      <c r="AC44" s="346"/>
      <c r="AD44" s="346"/>
      <c r="AE44" s="425">
        <f t="shared" si="2"/>
        <v>0</v>
      </c>
      <c r="AF44" s="426">
        <f t="shared" si="3"/>
        <v>0</v>
      </c>
      <c r="AG44" s="426">
        <f t="shared" si="4"/>
        <v>0</v>
      </c>
      <c r="AH44" s="427">
        <f t="shared" si="5"/>
        <v>0</v>
      </c>
      <c r="AI44" s="428">
        <f t="shared" si="6"/>
        <v>0.05</v>
      </c>
      <c r="AJ44" s="429">
        <f t="shared" si="7"/>
        <v>0</v>
      </c>
      <c r="AK44" s="429">
        <f t="shared" si="8"/>
        <v>0</v>
      </c>
      <c r="AL44" s="427">
        <f t="shared" si="9"/>
        <v>0</v>
      </c>
      <c r="AM44" s="427">
        <f t="shared" si="10"/>
        <v>0</v>
      </c>
      <c r="AN44" s="427">
        <f t="shared" si="11"/>
        <v>0</v>
      </c>
      <c r="AO44" s="430">
        <f t="shared" si="12"/>
        <v>86993.099636363622</v>
      </c>
      <c r="AP44" s="431">
        <f t="shared" si="0"/>
        <v>72489.783846889943</v>
      </c>
      <c r="AQ44" s="432">
        <f t="shared" si="13"/>
        <v>86993.099636363622</v>
      </c>
      <c r="AR44" s="432">
        <f t="shared" si="1"/>
        <v>72489.783846889943</v>
      </c>
    </row>
    <row r="45" spans="1:44" ht="15" x14ac:dyDescent="0.25">
      <c r="A45" s="345"/>
      <c r="B45" s="345" t="s">
        <v>526</v>
      </c>
      <c r="C45" s="266" t="s">
        <v>566</v>
      </c>
      <c r="D45" s="266" t="s">
        <v>387</v>
      </c>
      <c r="E45" s="346" t="s">
        <v>570</v>
      </c>
      <c r="F45" s="346" t="s">
        <v>391</v>
      </c>
      <c r="G45" s="268">
        <v>43084</v>
      </c>
      <c r="H45" s="348">
        <v>5</v>
      </c>
      <c r="I45" s="266">
        <v>5</v>
      </c>
      <c r="J45" s="349"/>
      <c r="K45" s="350"/>
      <c r="L45" s="351"/>
      <c r="M45" s="346">
        <v>138</v>
      </c>
      <c r="N45" s="346">
        <v>8</v>
      </c>
      <c r="O45" s="346">
        <v>276</v>
      </c>
      <c r="P45" s="346">
        <v>2208</v>
      </c>
      <c r="Q45" s="352">
        <f>'[2]Dalmally 2'!G26</f>
        <v>27298.3776</v>
      </c>
      <c r="R45" s="346">
        <f>'[2]Dalmally 2'!G32</f>
        <v>4832</v>
      </c>
      <c r="S45" s="362">
        <f t="shared" si="14"/>
        <v>1658.76</v>
      </c>
      <c r="T45" s="362">
        <f t="shared" si="15"/>
        <v>18580.32</v>
      </c>
      <c r="U45" s="363">
        <f t="shared" si="16"/>
        <v>0.14545454545454545</v>
      </c>
      <c r="V45" s="364">
        <f t="shared" si="17"/>
        <v>72.72727272727272</v>
      </c>
      <c r="W45" s="362">
        <f t="shared" si="18"/>
        <v>20.072727272727271</v>
      </c>
      <c r="X45" s="362">
        <f t="shared" si="19"/>
        <v>80.290909090909082</v>
      </c>
      <c r="Y45" s="362">
        <f t="shared" si="20"/>
        <v>241.2741818181818</v>
      </c>
      <c r="Z45" s="362">
        <f t="shared" si="21"/>
        <v>1351.2959999999998</v>
      </c>
      <c r="AA45" s="362">
        <f t="shared" si="22"/>
        <v>1592.5701818181817</v>
      </c>
      <c r="AB45" s="360">
        <f t="shared" si="23"/>
        <v>54034.755054545458</v>
      </c>
      <c r="AC45" s="346">
        <v>0</v>
      </c>
      <c r="AD45" s="346">
        <v>0</v>
      </c>
      <c r="AE45" s="412">
        <f t="shared" si="2"/>
        <v>0</v>
      </c>
      <c r="AF45" s="413">
        <f t="shared" si="3"/>
        <v>0</v>
      </c>
      <c r="AG45" s="413">
        <f t="shared" si="4"/>
        <v>0</v>
      </c>
      <c r="AH45" s="414">
        <f t="shared" si="5"/>
        <v>0</v>
      </c>
      <c r="AI45" s="415">
        <f t="shared" si="6"/>
        <v>0.05</v>
      </c>
      <c r="AJ45" s="416">
        <f t="shared" si="7"/>
        <v>0</v>
      </c>
      <c r="AK45" s="416">
        <f t="shared" si="8"/>
        <v>0</v>
      </c>
      <c r="AL45" s="414">
        <f t="shared" si="9"/>
        <v>0</v>
      </c>
      <c r="AM45" s="414">
        <f t="shared" si="10"/>
        <v>0</v>
      </c>
      <c r="AN45" s="414">
        <f t="shared" si="11"/>
        <v>0</v>
      </c>
      <c r="AO45" s="242">
        <f t="shared" si="12"/>
        <v>54034.755054545458</v>
      </c>
      <c r="AP45" s="172">
        <f t="shared" si="0"/>
        <v>46783.097159808618</v>
      </c>
      <c r="AQ45" s="243">
        <f t="shared" si="13"/>
        <v>54034.755054545458</v>
      </c>
      <c r="AR45" s="243">
        <f t="shared" si="1"/>
        <v>46783.097159808618</v>
      </c>
    </row>
    <row r="46" spans="1:44" ht="15" x14ac:dyDescent="0.25">
      <c r="A46" s="381" t="s">
        <v>571</v>
      </c>
      <c r="B46" s="249" t="s">
        <v>526</v>
      </c>
      <c r="C46" s="387" t="s">
        <v>563</v>
      </c>
      <c r="D46" s="387" t="s">
        <v>486</v>
      </c>
      <c r="E46" s="387" t="s">
        <v>572</v>
      </c>
      <c r="F46" s="387" t="s">
        <v>477</v>
      </c>
      <c r="G46" s="260">
        <v>43119</v>
      </c>
      <c r="H46" s="433">
        <v>13</v>
      </c>
      <c r="I46" s="387">
        <v>13</v>
      </c>
      <c r="J46" s="382">
        <f>SUM(I46:I47)/(($K$8-$K$9)/$K$10)</f>
        <v>0.504</v>
      </c>
      <c r="K46" s="383">
        <v>24000</v>
      </c>
      <c r="L46" s="384">
        <v>22917.119999999999</v>
      </c>
      <c r="M46" s="387">
        <v>31</v>
      </c>
      <c r="N46" s="387">
        <v>10</v>
      </c>
      <c r="O46" s="387">
        <v>62</v>
      </c>
      <c r="P46" s="387">
        <v>372</v>
      </c>
      <c r="Q46" s="386">
        <f>[2]Duncrub!G26</f>
        <v>31235.472000000002</v>
      </c>
      <c r="R46" s="387">
        <f>[2]Duncrub!G32</f>
        <v>3944</v>
      </c>
      <c r="S46" s="388">
        <f t="shared" si="14"/>
        <v>372.62</v>
      </c>
      <c r="T46" s="388">
        <f t="shared" si="15"/>
        <v>3130.3799999999997</v>
      </c>
      <c r="U46" s="389">
        <f t="shared" si="16"/>
        <v>0.18181818181818182</v>
      </c>
      <c r="V46" s="390">
        <f t="shared" si="17"/>
        <v>90.909090909090907</v>
      </c>
      <c r="W46" s="388">
        <f t="shared" si="18"/>
        <v>5.6363636363636367</v>
      </c>
      <c r="X46" s="388">
        <f t="shared" si="19"/>
        <v>22.545454545454547</v>
      </c>
      <c r="Y46" s="388">
        <f t="shared" si="20"/>
        <v>67.74909090909091</v>
      </c>
      <c r="Z46" s="388">
        <f t="shared" si="21"/>
        <v>379.44</v>
      </c>
      <c r="AA46" s="388">
        <f t="shared" si="22"/>
        <v>447.18909090909091</v>
      </c>
      <c r="AB46" s="391">
        <f t="shared" si="23"/>
        <v>39220.570181818184</v>
      </c>
      <c r="AC46" s="387">
        <v>0</v>
      </c>
      <c r="AD46" s="387">
        <v>0</v>
      </c>
      <c r="AE46" s="392">
        <f t="shared" si="2"/>
        <v>0</v>
      </c>
      <c r="AF46" s="393">
        <f t="shared" si="3"/>
        <v>0</v>
      </c>
      <c r="AG46" s="393">
        <f t="shared" si="4"/>
        <v>0</v>
      </c>
      <c r="AH46" s="394">
        <f t="shared" si="5"/>
        <v>0</v>
      </c>
      <c r="AI46" s="395">
        <f t="shared" si="6"/>
        <v>0.05</v>
      </c>
      <c r="AJ46" s="396">
        <f t="shared" si="7"/>
        <v>0</v>
      </c>
      <c r="AK46" s="396">
        <f t="shared" si="8"/>
        <v>0</v>
      </c>
      <c r="AL46" s="394">
        <f t="shared" si="9"/>
        <v>0</v>
      </c>
      <c r="AM46" s="394">
        <f t="shared" si="10"/>
        <v>0</v>
      </c>
      <c r="AN46" s="394">
        <f t="shared" si="11"/>
        <v>0</v>
      </c>
      <c r="AO46" s="242">
        <f t="shared" si="12"/>
        <v>39220.570181818184</v>
      </c>
      <c r="AP46" s="172">
        <f t="shared" si="0"/>
        <v>20366.259655502396</v>
      </c>
      <c r="AQ46" s="243">
        <f t="shared" si="13"/>
        <v>39220.570181818184</v>
      </c>
      <c r="AR46" s="243">
        <f t="shared" si="1"/>
        <v>20366.259655502396</v>
      </c>
    </row>
    <row r="47" spans="1:44" ht="15" x14ac:dyDescent="0.25">
      <c r="A47" s="381"/>
      <c r="B47" s="387" t="s">
        <v>526</v>
      </c>
      <c r="C47" s="387" t="s">
        <v>542</v>
      </c>
      <c r="D47" s="387" t="s">
        <v>387</v>
      </c>
      <c r="E47" s="387" t="s">
        <v>573</v>
      </c>
      <c r="F47" s="387" t="s">
        <v>574</v>
      </c>
      <c r="G47" s="260">
        <v>43131</v>
      </c>
      <c r="H47" s="433">
        <v>8</v>
      </c>
      <c r="I47" s="387">
        <v>8</v>
      </c>
      <c r="J47" s="397"/>
      <c r="K47" s="383"/>
      <c r="L47" s="384"/>
      <c r="M47" s="387">
        <v>16</v>
      </c>
      <c r="N47" s="387">
        <v>10</v>
      </c>
      <c r="O47" s="387">
        <v>32</v>
      </c>
      <c r="P47" s="387">
        <v>192</v>
      </c>
      <c r="Q47" s="386">
        <f>[2]Culdrain!G26</f>
        <v>1889.0944</v>
      </c>
      <c r="R47" s="387">
        <f>[2]Culdrain!G32</f>
        <v>1612</v>
      </c>
      <c r="S47" s="388">
        <f t="shared" si="14"/>
        <v>192.32</v>
      </c>
      <c r="T47" s="388">
        <f t="shared" si="15"/>
        <v>1615.6799999999998</v>
      </c>
      <c r="U47" s="389">
        <f t="shared" si="16"/>
        <v>0.18181818181818182</v>
      </c>
      <c r="V47" s="390">
        <f t="shared" si="17"/>
        <v>90.909090909090907</v>
      </c>
      <c r="W47" s="388">
        <f t="shared" si="18"/>
        <v>2.9090909090909092</v>
      </c>
      <c r="X47" s="388">
        <f t="shared" si="19"/>
        <v>11.636363636363637</v>
      </c>
      <c r="Y47" s="388">
        <f t="shared" si="20"/>
        <v>34.967272727272729</v>
      </c>
      <c r="Z47" s="388">
        <f t="shared" si="21"/>
        <v>195.83999999999997</v>
      </c>
      <c r="AA47" s="388">
        <f t="shared" si="22"/>
        <v>230.8072727272727</v>
      </c>
      <c r="AB47" s="391">
        <f t="shared" si="23"/>
        <v>5630.8107636363638</v>
      </c>
      <c r="AC47" s="387">
        <v>1774</v>
      </c>
      <c r="AD47" s="387">
        <v>8</v>
      </c>
      <c r="AE47" s="392">
        <f t="shared" si="2"/>
        <v>14192</v>
      </c>
      <c r="AF47" s="393">
        <f t="shared" si="3"/>
        <v>21323.48</v>
      </c>
      <c r="AG47" s="393">
        <f t="shared" si="4"/>
        <v>238851.36</v>
      </c>
      <c r="AH47" s="394">
        <f t="shared" si="5"/>
        <v>260174.84</v>
      </c>
      <c r="AI47" s="395">
        <f t="shared" si="6"/>
        <v>0.05</v>
      </c>
      <c r="AJ47" s="396">
        <f t="shared" si="7"/>
        <v>88.7</v>
      </c>
      <c r="AK47" s="396">
        <f t="shared" si="8"/>
        <v>709.6</v>
      </c>
      <c r="AL47" s="394">
        <f t="shared" si="9"/>
        <v>13008.742</v>
      </c>
      <c r="AM47" s="394">
        <f t="shared" si="10"/>
        <v>1066.174</v>
      </c>
      <c r="AN47" s="394">
        <f t="shared" si="11"/>
        <v>11942.567999999999</v>
      </c>
      <c r="AO47" s="242">
        <f t="shared" si="12"/>
        <v>265805.65076363634</v>
      </c>
      <c r="AP47" s="172">
        <f t="shared" si="0"/>
        <v>254202.9981320574</v>
      </c>
      <c r="AQ47" s="243">
        <f t="shared" si="13"/>
        <v>18639.552763636362</v>
      </c>
      <c r="AR47" s="243">
        <f t="shared" si="1"/>
        <v>7036.9001320574152</v>
      </c>
    </row>
    <row r="48" spans="1:44" ht="15" x14ac:dyDescent="0.25">
      <c r="A48" s="345" t="s">
        <v>575</v>
      </c>
      <c r="B48" s="345" t="s">
        <v>526</v>
      </c>
      <c r="C48" s="346" t="s">
        <v>542</v>
      </c>
      <c r="D48" s="346" t="s">
        <v>387</v>
      </c>
      <c r="E48" s="346" t="s">
        <v>573</v>
      </c>
      <c r="F48" s="346" t="s">
        <v>574</v>
      </c>
      <c r="G48" s="347">
        <v>43140</v>
      </c>
      <c r="H48" s="348">
        <v>7</v>
      </c>
      <c r="I48" s="346">
        <v>7</v>
      </c>
      <c r="J48" s="349">
        <f>SUM(I48:I50)/(($K$8-$K$9)/$K$10)</f>
        <v>0.48000000000000004</v>
      </c>
      <c r="K48" s="350">
        <v>24000</v>
      </c>
      <c r="L48" s="351">
        <v>8031.22</v>
      </c>
      <c r="M48" s="409"/>
      <c r="N48" s="410"/>
      <c r="O48" s="409"/>
      <c r="P48" s="409"/>
      <c r="Q48" s="411"/>
      <c r="R48" s="296"/>
      <c r="S48" s="362">
        <f t="shared" si="14"/>
        <v>0</v>
      </c>
      <c r="T48" s="362">
        <f t="shared" si="15"/>
        <v>0</v>
      </c>
      <c r="U48" s="363">
        <f t="shared" si="16"/>
        <v>0</v>
      </c>
      <c r="V48" s="364">
        <f t="shared" si="17"/>
        <v>0</v>
      </c>
      <c r="W48" s="362">
        <f t="shared" si="18"/>
        <v>0</v>
      </c>
      <c r="X48" s="362">
        <f t="shared" si="19"/>
        <v>0</v>
      </c>
      <c r="Y48" s="362">
        <f t="shared" si="20"/>
        <v>0</v>
      </c>
      <c r="Z48" s="362">
        <f t="shared" si="21"/>
        <v>0</v>
      </c>
      <c r="AA48" s="362">
        <f t="shared" si="22"/>
        <v>0</v>
      </c>
      <c r="AB48" s="360">
        <f t="shared" si="23"/>
        <v>0</v>
      </c>
      <c r="AC48" s="296"/>
      <c r="AD48" s="296"/>
      <c r="AE48" s="412">
        <f t="shared" si="2"/>
        <v>0</v>
      </c>
      <c r="AF48" s="413">
        <f t="shared" si="3"/>
        <v>0</v>
      </c>
      <c r="AG48" s="413">
        <f t="shared" si="4"/>
        <v>0</v>
      </c>
      <c r="AH48" s="414">
        <f t="shared" si="5"/>
        <v>0</v>
      </c>
      <c r="AI48" s="415">
        <f t="shared" si="6"/>
        <v>0.05</v>
      </c>
      <c r="AJ48" s="416">
        <f t="shared" si="7"/>
        <v>0</v>
      </c>
      <c r="AK48" s="416">
        <f t="shared" si="8"/>
        <v>0</v>
      </c>
      <c r="AL48" s="414">
        <f t="shared" si="9"/>
        <v>0</v>
      </c>
      <c r="AM48" s="414">
        <f t="shared" si="10"/>
        <v>0</v>
      </c>
      <c r="AN48" s="414">
        <f t="shared" si="11"/>
        <v>0</v>
      </c>
      <c r="AO48" s="242">
        <f t="shared" si="12"/>
        <v>0</v>
      </c>
      <c r="AP48" s="172">
        <f t="shared" si="0"/>
        <v>-10152.321052631578</v>
      </c>
      <c r="AQ48" s="243">
        <f t="shared" si="13"/>
        <v>0</v>
      </c>
      <c r="AR48" s="243">
        <f t="shared" si="1"/>
        <v>-10152.321052631578</v>
      </c>
    </row>
    <row r="49" spans="1:44" ht="15" x14ac:dyDescent="0.25">
      <c r="A49" s="345"/>
      <c r="B49" s="345" t="s">
        <v>533</v>
      </c>
      <c r="C49" s="266" t="s">
        <v>542</v>
      </c>
      <c r="D49" s="346" t="s">
        <v>387</v>
      </c>
      <c r="E49" s="346" t="s">
        <v>576</v>
      </c>
      <c r="F49" s="346" t="s">
        <v>396</v>
      </c>
      <c r="G49" s="347">
        <v>43154</v>
      </c>
      <c r="H49" s="348">
        <v>10</v>
      </c>
      <c r="I49" s="346">
        <v>10</v>
      </c>
      <c r="J49" s="354"/>
      <c r="K49" s="350"/>
      <c r="L49" s="351"/>
      <c r="M49" s="346">
        <v>13</v>
      </c>
      <c r="N49" s="346">
        <v>10</v>
      </c>
      <c r="O49" s="346">
        <v>26</v>
      </c>
      <c r="P49" s="346">
        <v>156</v>
      </c>
      <c r="Q49" s="352">
        <f>[2]Rowardennon!G26</f>
        <v>29753.648000000001</v>
      </c>
      <c r="R49" s="346">
        <f>[2]Rowardennon!G32</f>
        <v>4712</v>
      </c>
      <c r="S49" s="362">
        <f t="shared" si="14"/>
        <v>156.26</v>
      </c>
      <c r="T49" s="362">
        <f t="shared" si="15"/>
        <v>1312.7399999999998</v>
      </c>
      <c r="U49" s="363">
        <f t="shared" si="16"/>
        <v>0.18181818181818182</v>
      </c>
      <c r="V49" s="364">
        <f t="shared" si="17"/>
        <v>90.909090909090907</v>
      </c>
      <c r="W49" s="362">
        <f t="shared" si="18"/>
        <v>2.3636363636363638</v>
      </c>
      <c r="X49" s="362">
        <f t="shared" si="19"/>
        <v>9.454545454545455</v>
      </c>
      <c r="Y49" s="362">
        <f t="shared" si="20"/>
        <v>28.41090909090909</v>
      </c>
      <c r="Z49" s="362">
        <f t="shared" si="21"/>
        <v>159.12</v>
      </c>
      <c r="AA49" s="362">
        <f t="shared" si="22"/>
        <v>187.53090909090909</v>
      </c>
      <c r="AB49" s="360">
        <f t="shared" si="23"/>
        <v>36213.087999999996</v>
      </c>
      <c r="AC49" s="346">
        <v>0</v>
      </c>
      <c r="AD49" s="346">
        <v>0</v>
      </c>
      <c r="AE49" s="412">
        <f t="shared" si="2"/>
        <v>0</v>
      </c>
      <c r="AF49" s="413">
        <f t="shared" si="3"/>
        <v>0</v>
      </c>
      <c r="AG49" s="413">
        <f t="shared" si="4"/>
        <v>0</v>
      </c>
      <c r="AH49" s="414">
        <f t="shared" si="5"/>
        <v>0</v>
      </c>
      <c r="AI49" s="415">
        <f t="shared" si="6"/>
        <v>0.05</v>
      </c>
      <c r="AJ49" s="416">
        <f t="shared" si="7"/>
        <v>0</v>
      </c>
      <c r="AK49" s="416">
        <f t="shared" si="8"/>
        <v>0</v>
      </c>
      <c r="AL49" s="414">
        <f t="shared" si="9"/>
        <v>0</v>
      </c>
      <c r="AM49" s="414">
        <f t="shared" si="10"/>
        <v>0</v>
      </c>
      <c r="AN49" s="414">
        <f t="shared" si="11"/>
        <v>0</v>
      </c>
      <c r="AO49" s="242">
        <f t="shared" si="12"/>
        <v>36213.087999999996</v>
      </c>
      <c r="AP49" s="172">
        <f t="shared" si="0"/>
        <v>21709.772210526313</v>
      </c>
      <c r="AQ49" s="243">
        <f t="shared" si="13"/>
        <v>36213.087999999996</v>
      </c>
      <c r="AR49" s="243">
        <f t="shared" si="1"/>
        <v>21709.772210526313</v>
      </c>
    </row>
    <row r="50" spans="1:44" ht="15" x14ac:dyDescent="0.25">
      <c r="A50" s="345"/>
      <c r="B50" s="345" t="s">
        <v>533</v>
      </c>
      <c r="C50" s="346" t="s">
        <v>542</v>
      </c>
      <c r="D50" s="346" t="s">
        <v>387</v>
      </c>
      <c r="E50" s="346" t="s">
        <v>577</v>
      </c>
      <c r="F50" s="346" t="s">
        <v>396</v>
      </c>
      <c r="G50" s="347">
        <v>43159</v>
      </c>
      <c r="H50" s="348">
        <v>3</v>
      </c>
      <c r="I50" s="275">
        <v>3</v>
      </c>
      <c r="J50" s="350"/>
      <c r="K50" s="350"/>
      <c r="L50" s="351"/>
      <c r="M50" s="346">
        <v>6</v>
      </c>
      <c r="N50" s="346">
        <v>3</v>
      </c>
      <c r="O50" s="346">
        <v>12</v>
      </c>
      <c r="P50" s="346">
        <v>72</v>
      </c>
      <c r="Q50" s="352">
        <f>[2]Culdrain!G26</f>
        <v>1889.0944</v>
      </c>
      <c r="R50" s="346">
        <f>[2]Culdrain!G32</f>
        <v>1612</v>
      </c>
      <c r="S50" s="362">
        <f t="shared" si="14"/>
        <v>72.12</v>
      </c>
      <c r="T50" s="362">
        <f t="shared" si="15"/>
        <v>605.87999999999988</v>
      </c>
      <c r="U50" s="363">
        <f t="shared" si="16"/>
        <v>5.4545454545454543E-2</v>
      </c>
      <c r="V50" s="364">
        <f t="shared" si="17"/>
        <v>27.27272727272727</v>
      </c>
      <c r="W50" s="362">
        <f t="shared" si="18"/>
        <v>0.32727272727272727</v>
      </c>
      <c r="X50" s="362">
        <f t="shared" si="19"/>
        <v>1.3090909090909091</v>
      </c>
      <c r="Y50" s="362">
        <f t="shared" si="20"/>
        <v>3.9338181818181819</v>
      </c>
      <c r="Z50" s="362">
        <f t="shared" si="21"/>
        <v>22.031999999999996</v>
      </c>
      <c r="AA50" s="362">
        <f t="shared" si="22"/>
        <v>25.965818181818179</v>
      </c>
      <c r="AB50" s="360">
        <f t="shared" si="23"/>
        <v>4232.3329454545456</v>
      </c>
      <c r="AC50" s="346">
        <v>0</v>
      </c>
      <c r="AD50" s="346">
        <v>0</v>
      </c>
      <c r="AE50" s="412">
        <f t="shared" si="2"/>
        <v>0</v>
      </c>
      <c r="AF50" s="413">
        <f t="shared" si="3"/>
        <v>0</v>
      </c>
      <c r="AG50" s="413">
        <f t="shared" si="4"/>
        <v>0</v>
      </c>
      <c r="AH50" s="414">
        <f t="shared" si="5"/>
        <v>0</v>
      </c>
      <c r="AI50" s="415">
        <f t="shared" si="6"/>
        <v>0.05</v>
      </c>
      <c r="AJ50" s="416">
        <f t="shared" si="7"/>
        <v>0</v>
      </c>
      <c r="AK50" s="416">
        <f t="shared" si="8"/>
        <v>0</v>
      </c>
      <c r="AL50" s="414">
        <f t="shared" si="9"/>
        <v>0</v>
      </c>
      <c r="AM50" s="414">
        <f t="shared" si="10"/>
        <v>0</v>
      </c>
      <c r="AN50" s="414">
        <f t="shared" si="11"/>
        <v>0</v>
      </c>
      <c r="AO50" s="242">
        <f t="shared" si="12"/>
        <v>4232.3329454545456</v>
      </c>
      <c r="AP50" s="172">
        <f t="shared" si="0"/>
        <v>-118.66179138755979</v>
      </c>
      <c r="AQ50" s="243">
        <f t="shared" si="13"/>
        <v>4232.3329454545456</v>
      </c>
      <c r="AR50" s="243">
        <f t="shared" si="1"/>
        <v>-118.66179138755979</v>
      </c>
    </row>
    <row r="51" spans="1:44" ht="15" x14ac:dyDescent="0.25">
      <c r="A51" s="381" t="s">
        <v>578</v>
      </c>
      <c r="B51" s="249" t="s">
        <v>526</v>
      </c>
      <c r="C51" s="387" t="s">
        <v>527</v>
      </c>
      <c r="D51" s="387" t="s">
        <v>579</v>
      </c>
      <c r="E51" s="387" t="s">
        <v>577</v>
      </c>
      <c r="F51" s="387" t="s">
        <v>396</v>
      </c>
      <c r="G51" s="434">
        <v>43168</v>
      </c>
      <c r="H51" s="433">
        <v>8</v>
      </c>
      <c r="I51" s="387">
        <v>8</v>
      </c>
      <c r="J51" s="382">
        <f>SUM(I51:I53)/(($K$8-$K$9)/$K$10)</f>
        <v>0.55200000000000005</v>
      </c>
      <c r="K51" s="383">
        <v>24000</v>
      </c>
      <c r="L51" s="384">
        <v>13437.03</v>
      </c>
      <c r="M51" s="410"/>
      <c r="N51" s="410"/>
      <c r="O51" s="410"/>
      <c r="P51" s="410"/>
      <c r="Q51" s="386"/>
      <c r="R51" s="387"/>
      <c r="S51" s="388">
        <f t="shared" si="14"/>
        <v>0</v>
      </c>
      <c r="T51" s="388">
        <f t="shared" si="15"/>
        <v>0</v>
      </c>
      <c r="U51" s="389">
        <f t="shared" si="16"/>
        <v>0</v>
      </c>
      <c r="V51" s="390">
        <f t="shared" si="17"/>
        <v>0</v>
      </c>
      <c r="W51" s="388">
        <f t="shared" si="18"/>
        <v>0</v>
      </c>
      <c r="X51" s="388">
        <f t="shared" si="19"/>
        <v>0</v>
      </c>
      <c r="Y51" s="388">
        <f t="shared" si="20"/>
        <v>0</v>
      </c>
      <c r="Z51" s="388">
        <f t="shared" si="21"/>
        <v>0</v>
      </c>
      <c r="AA51" s="388">
        <f t="shared" si="22"/>
        <v>0</v>
      </c>
      <c r="AB51" s="391">
        <f t="shared" si="23"/>
        <v>0</v>
      </c>
      <c r="AC51" s="387"/>
      <c r="AD51" s="387"/>
      <c r="AE51" s="392">
        <f t="shared" si="2"/>
        <v>0</v>
      </c>
      <c r="AF51" s="393">
        <f t="shared" si="3"/>
        <v>0</v>
      </c>
      <c r="AG51" s="393">
        <f t="shared" si="4"/>
        <v>0</v>
      </c>
      <c r="AH51" s="394">
        <f t="shared" si="5"/>
        <v>0</v>
      </c>
      <c r="AI51" s="395">
        <f t="shared" si="6"/>
        <v>0.05</v>
      </c>
      <c r="AJ51" s="396">
        <f t="shared" si="7"/>
        <v>0</v>
      </c>
      <c r="AK51" s="396">
        <f t="shared" si="8"/>
        <v>0</v>
      </c>
      <c r="AL51" s="394">
        <f t="shared" si="9"/>
        <v>0</v>
      </c>
      <c r="AM51" s="394">
        <f t="shared" si="10"/>
        <v>0</v>
      </c>
      <c r="AN51" s="394">
        <f t="shared" si="11"/>
        <v>0</v>
      </c>
      <c r="AO51" s="242">
        <f t="shared" si="12"/>
        <v>0</v>
      </c>
      <c r="AP51" s="172">
        <f t="shared" si="0"/>
        <v>-11602.652631578947</v>
      </c>
      <c r="AQ51" s="243">
        <f t="shared" si="13"/>
        <v>0</v>
      </c>
      <c r="AR51" s="243">
        <f t="shared" si="1"/>
        <v>-11602.652631578947</v>
      </c>
    </row>
    <row r="52" spans="1:44" ht="15" x14ac:dyDescent="0.25">
      <c r="A52" s="381"/>
      <c r="B52" s="387" t="s">
        <v>526</v>
      </c>
      <c r="C52" s="387" t="s">
        <v>563</v>
      </c>
      <c r="D52" s="387" t="s">
        <v>486</v>
      </c>
      <c r="E52" s="387" t="s">
        <v>580</v>
      </c>
      <c r="F52" s="387" t="s">
        <v>581</v>
      </c>
      <c r="G52" s="260">
        <v>43175</v>
      </c>
      <c r="H52" s="252">
        <v>5</v>
      </c>
      <c r="I52" s="387">
        <v>5</v>
      </c>
      <c r="J52" s="397"/>
      <c r="K52" s="383"/>
      <c r="L52" s="383"/>
      <c r="M52" s="249">
        <v>0</v>
      </c>
      <c r="N52" s="249">
        <v>0</v>
      </c>
      <c r="O52" s="249">
        <v>0</v>
      </c>
      <c r="P52" s="249">
        <v>0</v>
      </c>
      <c r="Q52" s="249">
        <v>0</v>
      </c>
      <c r="R52" s="249">
        <v>0</v>
      </c>
      <c r="S52" s="388">
        <f t="shared" si="14"/>
        <v>0</v>
      </c>
      <c r="T52" s="388">
        <f t="shared" si="15"/>
        <v>0</v>
      </c>
      <c r="U52" s="389">
        <f t="shared" si="16"/>
        <v>0</v>
      </c>
      <c r="V52" s="390">
        <f t="shared" si="17"/>
        <v>0</v>
      </c>
      <c r="W52" s="388">
        <f t="shared" si="18"/>
        <v>0</v>
      </c>
      <c r="X52" s="388">
        <f t="shared" si="19"/>
        <v>0</v>
      </c>
      <c r="Y52" s="388">
        <f t="shared" si="20"/>
        <v>0</v>
      </c>
      <c r="Z52" s="388">
        <f t="shared" si="21"/>
        <v>0</v>
      </c>
      <c r="AA52" s="388">
        <f t="shared" si="22"/>
        <v>0</v>
      </c>
      <c r="AB52" s="391">
        <f t="shared" si="23"/>
        <v>0</v>
      </c>
      <c r="AC52" s="249">
        <v>4034</v>
      </c>
      <c r="AD52" s="249">
        <v>8</v>
      </c>
      <c r="AE52" s="392">
        <f t="shared" si="2"/>
        <v>32272</v>
      </c>
      <c r="AF52" s="393">
        <f t="shared" si="3"/>
        <v>48488.68</v>
      </c>
      <c r="AG52" s="393">
        <f t="shared" si="4"/>
        <v>543137.75999999989</v>
      </c>
      <c r="AH52" s="394">
        <f t="shared" si="5"/>
        <v>591626.43999999994</v>
      </c>
      <c r="AI52" s="395">
        <f t="shared" si="6"/>
        <v>0.05</v>
      </c>
      <c r="AJ52" s="396">
        <f t="shared" si="7"/>
        <v>201.70000000000002</v>
      </c>
      <c r="AK52" s="396">
        <f t="shared" si="8"/>
        <v>1613.6000000000001</v>
      </c>
      <c r="AL52" s="394">
        <f t="shared" si="9"/>
        <v>29581.322</v>
      </c>
      <c r="AM52" s="394">
        <f t="shared" si="10"/>
        <v>2424.4340000000002</v>
      </c>
      <c r="AN52" s="394">
        <f t="shared" si="11"/>
        <v>27156.887999999995</v>
      </c>
      <c r="AO52" s="242">
        <f t="shared" si="12"/>
        <v>591626.43999999994</v>
      </c>
      <c r="AP52" s="172">
        <f t="shared" si="0"/>
        <v>584374.78210526309</v>
      </c>
      <c r="AQ52" s="243">
        <f t="shared" si="13"/>
        <v>29581.322</v>
      </c>
      <c r="AR52" s="243">
        <f t="shared" si="1"/>
        <v>22329.66410526316</v>
      </c>
    </row>
    <row r="53" spans="1:44" ht="15" x14ac:dyDescent="0.25">
      <c r="A53" s="381"/>
      <c r="B53" s="387" t="s">
        <v>526</v>
      </c>
      <c r="C53" s="387" t="s">
        <v>547</v>
      </c>
      <c r="D53" s="387" t="s">
        <v>409</v>
      </c>
      <c r="E53" s="387" t="s">
        <v>582</v>
      </c>
      <c r="F53" s="387" t="s">
        <v>530</v>
      </c>
      <c r="G53" s="434">
        <v>43190</v>
      </c>
      <c r="H53" s="433">
        <v>10</v>
      </c>
      <c r="I53" s="387">
        <v>10</v>
      </c>
      <c r="J53" s="383"/>
      <c r="K53" s="383"/>
      <c r="L53" s="383"/>
      <c r="M53" s="387">
        <v>49</v>
      </c>
      <c r="N53" s="387">
        <v>10</v>
      </c>
      <c r="O53" s="387">
        <v>98</v>
      </c>
      <c r="P53" s="387">
        <v>784</v>
      </c>
      <c r="Q53" s="386">
        <f>[2]Dores!G26</f>
        <v>52880</v>
      </c>
      <c r="R53" s="387">
        <f>[2]Dores!G32</f>
        <v>4712</v>
      </c>
      <c r="S53" s="388">
        <f t="shared" si="14"/>
        <v>588.98</v>
      </c>
      <c r="T53" s="388">
        <f t="shared" si="15"/>
        <v>6597.36</v>
      </c>
      <c r="U53" s="389">
        <f t="shared" si="16"/>
        <v>0.18181818181818182</v>
      </c>
      <c r="V53" s="390">
        <f t="shared" si="17"/>
        <v>90.909090909090907</v>
      </c>
      <c r="W53" s="388">
        <f t="shared" si="18"/>
        <v>8.9090909090909101</v>
      </c>
      <c r="X53" s="388">
        <f t="shared" si="19"/>
        <v>35.63636363636364</v>
      </c>
      <c r="Y53" s="388">
        <f t="shared" si="20"/>
        <v>107.08727272727273</v>
      </c>
      <c r="Z53" s="388">
        <f t="shared" si="21"/>
        <v>599.76</v>
      </c>
      <c r="AA53" s="388">
        <f t="shared" si="22"/>
        <v>706.84727272727275</v>
      </c>
      <c r="AB53" s="391">
        <f t="shared" si="23"/>
        <v>65576.096363636359</v>
      </c>
      <c r="AC53" s="387">
        <v>0</v>
      </c>
      <c r="AD53" s="387">
        <v>0</v>
      </c>
      <c r="AE53" s="392">
        <f t="shared" si="2"/>
        <v>0</v>
      </c>
      <c r="AF53" s="393">
        <f t="shared" si="3"/>
        <v>0</v>
      </c>
      <c r="AG53" s="393">
        <f t="shared" si="4"/>
        <v>0</v>
      </c>
      <c r="AH53" s="394">
        <f t="shared" si="5"/>
        <v>0</v>
      </c>
      <c r="AI53" s="395">
        <f t="shared" si="6"/>
        <v>0.05</v>
      </c>
      <c r="AJ53" s="396">
        <f t="shared" si="7"/>
        <v>0</v>
      </c>
      <c r="AK53" s="396">
        <f t="shared" si="8"/>
        <v>0</v>
      </c>
      <c r="AL53" s="394">
        <f t="shared" si="9"/>
        <v>0</v>
      </c>
      <c r="AM53" s="394">
        <f t="shared" si="10"/>
        <v>0</v>
      </c>
      <c r="AN53" s="394">
        <f t="shared" si="11"/>
        <v>0</v>
      </c>
      <c r="AO53" s="242">
        <f t="shared" si="12"/>
        <v>65576.096363636359</v>
      </c>
      <c r="AP53" s="172">
        <f t="shared" si="0"/>
        <v>51072.78057416268</v>
      </c>
      <c r="AQ53" s="243">
        <f t="shared" si="13"/>
        <v>65576.096363636359</v>
      </c>
      <c r="AR53" s="243">
        <f t="shared" si="1"/>
        <v>51072.78057416268</v>
      </c>
    </row>
    <row r="54" spans="1:44" x14ac:dyDescent="0.2">
      <c r="K54" s="326"/>
      <c r="L54" s="326"/>
      <c r="S54" s="435"/>
      <c r="T54" s="435"/>
      <c r="U54" s="435"/>
      <c r="V54" s="435"/>
      <c r="W54" s="435"/>
      <c r="X54" s="435"/>
      <c r="Y54" s="435"/>
      <c r="Z54" s="435"/>
      <c r="AA54" s="435"/>
      <c r="AB54" s="436"/>
      <c r="AF54" s="435"/>
      <c r="AG54" s="437"/>
      <c r="AH54" s="329"/>
      <c r="AI54" s="438"/>
      <c r="AJ54" s="439"/>
      <c r="AK54" s="439"/>
      <c r="AL54" s="329"/>
      <c r="AM54" s="329"/>
      <c r="AN54" s="329"/>
      <c r="AO54" s="329"/>
      <c r="AP54" s="329"/>
      <c r="AQ54" s="329"/>
    </row>
    <row r="55" spans="1:44" x14ac:dyDescent="0.2">
      <c r="K55" s="326"/>
      <c r="L55" s="326"/>
      <c r="S55" s="435"/>
      <c r="T55" s="435"/>
      <c r="U55" s="435"/>
      <c r="V55" s="435"/>
      <c r="W55" s="435"/>
      <c r="X55" s="435"/>
      <c r="Y55" s="435"/>
      <c r="Z55" s="435"/>
      <c r="AA55" s="435"/>
      <c r="AB55" s="436"/>
      <c r="AF55" s="435"/>
      <c r="AG55" s="437"/>
      <c r="AH55" s="329"/>
      <c r="AI55" s="438"/>
      <c r="AJ55" s="439"/>
      <c r="AK55" s="439"/>
      <c r="AL55" s="329"/>
      <c r="AM55" s="329"/>
      <c r="AN55" s="329"/>
      <c r="AO55" s="329"/>
      <c r="AP55" s="329"/>
      <c r="AQ55" s="329"/>
    </row>
    <row r="56" spans="1:44" x14ac:dyDescent="0.2">
      <c r="K56" s="326"/>
      <c r="L56" s="326"/>
      <c r="S56" s="435"/>
      <c r="T56" s="435"/>
      <c r="U56" s="435"/>
      <c r="V56" s="435"/>
      <c r="W56" s="435"/>
      <c r="X56" s="435"/>
      <c r="Y56" s="435"/>
      <c r="Z56" s="435"/>
      <c r="AA56" s="435"/>
      <c r="AB56" s="436"/>
      <c r="AF56" s="435"/>
      <c r="AG56" s="437"/>
      <c r="AH56" s="329"/>
      <c r="AI56" s="438"/>
      <c r="AJ56" s="439"/>
      <c r="AK56" s="439"/>
      <c r="AL56" s="329"/>
      <c r="AM56" s="329"/>
      <c r="AN56" s="329"/>
      <c r="AO56" s="329"/>
      <c r="AP56" s="329"/>
      <c r="AQ56" s="329"/>
    </row>
    <row r="57" spans="1:44" x14ac:dyDescent="0.2">
      <c r="K57" s="326"/>
      <c r="L57" s="326"/>
      <c r="S57" s="435"/>
      <c r="T57" s="435"/>
      <c r="U57" s="435"/>
      <c r="V57" s="435"/>
      <c r="W57" s="435"/>
      <c r="X57" s="435"/>
      <c r="Y57" s="435"/>
      <c r="Z57" s="435"/>
      <c r="AA57" s="435"/>
      <c r="AB57" s="436"/>
      <c r="AF57" s="435"/>
      <c r="AG57" s="437"/>
      <c r="AH57" s="329"/>
      <c r="AI57" s="438"/>
      <c r="AJ57" s="439"/>
      <c r="AK57" s="439"/>
      <c r="AL57" s="329"/>
      <c r="AM57" s="329"/>
      <c r="AN57" s="329"/>
      <c r="AO57" s="329"/>
      <c r="AP57" s="329"/>
      <c r="AQ57" s="329"/>
    </row>
    <row r="58" spans="1:44" ht="15" x14ac:dyDescent="0.25">
      <c r="C58" s="440"/>
      <c r="D58" s="440"/>
      <c r="E58" s="440"/>
      <c r="F58" s="440"/>
      <c r="G58" s="440"/>
      <c r="H58" s="441"/>
      <c r="I58" s="442">
        <f>SUM(I14:I53)</f>
        <v>323</v>
      </c>
      <c r="J58" s="443">
        <f>AVERAGEIF(J15:J53,"&lt;&gt;0")</f>
        <v>0.65236363636363637</v>
      </c>
      <c r="K58" s="444">
        <f>SUM(K14:K53)</f>
        <v>288000</v>
      </c>
      <c r="L58" s="444">
        <f>SUM(L14:L57)</f>
        <v>180457.1</v>
      </c>
      <c r="M58" s="143"/>
      <c r="N58" s="143">
        <f t="shared" ref="N58:T58" si="24">SUM(N14:N57)</f>
        <v>225</v>
      </c>
      <c r="O58" s="143">
        <f t="shared" si="24"/>
        <v>4796</v>
      </c>
      <c r="P58" s="143">
        <f t="shared" si="24"/>
        <v>25752</v>
      </c>
      <c r="Q58" s="445">
        <f t="shared" si="24"/>
        <v>799023.77279999992</v>
      </c>
      <c r="R58" s="445">
        <f t="shared" si="24"/>
        <v>155552</v>
      </c>
      <c r="S58" s="445">
        <f t="shared" si="24"/>
        <v>28823.959999999995</v>
      </c>
      <c r="T58" s="445">
        <f t="shared" si="24"/>
        <v>216703.07999999996</v>
      </c>
      <c r="U58" s="445"/>
      <c r="V58" s="445">
        <f t="shared" ref="V58:AB58" si="25">SUM(V14:V57)</f>
        <v>1909.0909090909095</v>
      </c>
      <c r="W58" s="445">
        <f t="shared" si="25"/>
        <v>656.67272727272734</v>
      </c>
      <c r="X58" s="445">
        <f t="shared" si="25"/>
        <v>2626.6909090909094</v>
      </c>
      <c r="Y58" s="445">
        <f t="shared" si="25"/>
        <v>7893.2061818181837</v>
      </c>
      <c r="Z58" s="445">
        <f t="shared" si="25"/>
        <v>44207.208000000006</v>
      </c>
      <c r="AA58" s="445">
        <f t="shared" si="25"/>
        <v>52100.414181818182</v>
      </c>
      <c r="AB58" s="446">
        <f t="shared" si="25"/>
        <v>1254112.3178909093</v>
      </c>
      <c r="AC58" s="447"/>
      <c r="AD58" s="447"/>
      <c r="AE58" s="447"/>
      <c r="AF58" s="448"/>
      <c r="AG58" s="448"/>
      <c r="AH58" s="449">
        <f>SUM(AH14:AH57)</f>
        <v>2865853.5599999996</v>
      </c>
      <c r="AI58" s="450">
        <f>SUM(AI14:AI53)</f>
        <v>2.0000000000000009</v>
      </c>
      <c r="AJ58" s="448">
        <f t="shared" ref="AJ58:AR58" si="26">SUM(AJ14:AJ57)</f>
        <v>915.60000000000014</v>
      </c>
      <c r="AK58" s="448">
        <f t="shared" si="26"/>
        <v>7860.2000000000016</v>
      </c>
      <c r="AL58" s="449">
        <f t="shared" si="26"/>
        <v>143292.67800000001</v>
      </c>
      <c r="AM58" s="449">
        <f t="shared" si="26"/>
        <v>11005.511999999999</v>
      </c>
      <c r="AN58" s="449">
        <f t="shared" si="26"/>
        <v>132287.166</v>
      </c>
      <c r="AO58" s="451">
        <f t="shared" si="26"/>
        <v>4119965.8778909086</v>
      </c>
      <c r="AP58" s="452">
        <f t="shared" si="26"/>
        <v>3651508.7778909085</v>
      </c>
      <c r="AQ58" s="453">
        <f t="shared" si="26"/>
        <v>1397404.9958909089</v>
      </c>
      <c r="AR58" s="453">
        <f t="shared" si="26"/>
        <v>928947.89589090878</v>
      </c>
    </row>
    <row r="59" spans="1:44" x14ac:dyDescent="0.2">
      <c r="J59" s="454"/>
      <c r="K59" s="326"/>
      <c r="L59" s="326"/>
      <c r="AH59" s="328"/>
      <c r="AI59" s="328"/>
      <c r="AJ59" s="328"/>
      <c r="AK59" s="328"/>
      <c r="AL59" s="329"/>
      <c r="AM59" s="329"/>
      <c r="AN59" s="329"/>
      <c r="AO59" s="329"/>
      <c r="AP59" s="330"/>
    </row>
    <row r="60" spans="1:44" x14ac:dyDescent="0.2">
      <c r="L60" s="326"/>
      <c r="AH60" s="328"/>
      <c r="AI60" s="328"/>
      <c r="AJ60" s="328"/>
      <c r="AK60" s="328"/>
      <c r="AL60" s="329"/>
      <c r="AM60" s="329"/>
      <c r="AN60" s="329"/>
      <c r="AO60" s="329"/>
      <c r="AP60" s="330"/>
    </row>
    <row r="61" spans="1:44" ht="15" x14ac:dyDescent="0.25">
      <c r="F61" s="330"/>
      <c r="G61" s="455" t="s">
        <v>515</v>
      </c>
      <c r="H61" s="456"/>
      <c r="I61" s="455"/>
      <c r="J61" s="455"/>
      <c r="K61" s="315">
        <f>I58</f>
        <v>323</v>
      </c>
      <c r="L61" s="436"/>
      <c r="O61" s="457" t="s">
        <v>417</v>
      </c>
      <c r="P61" s="457"/>
      <c r="Q61" s="457"/>
      <c r="R61" s="458">
        <f>Q58+R58+V58+AA58</f>
        <v>1008585.277890909</v>
      </c>
      <c r="AF61" s="447" t="s">
        <v>418</v>
      </c>
      <c r="AG61" s="447"/>
      <c r="AH61" s="449">
        <f>AH58</f>
        <v>2865853.5599999996</v>
      </c>
      <c r="AI61" s="449"/>
      <c r="AJ61" s="449"/>
      <c r="AK61" s="449"/>
      <c r="AL61" s="449">
        <f>SUM(AL14:AL57)</f>
        <v>143292.67800000001</v>
      </c>
      <c r="AM61" s="449"/>
      <c r="AN61" s="449"/>
      <c r="AO61" s="329"/>
      <c r="AP61" s="330"/>
    </row>
    <row r="62" spans="1:44" ht="15" x14ac:dyDescent="0.25">
      <c r="F62" s="330"/>
      <c r="G62" s="455" t="s">
        <v>516</v>
      </c>
      <c r="H62" s="456"/>
      <c r="I62" s="455"/>
      <c r="J62" s="455"/>
      <c r="K62" s="444">
        <f>K58+L58</f>
        <v>468457.1</v>
      </c>
      <c r="L62" s="329"/>
      <c r="O62" s="457" t="s">
        <v>420</v>
      </c>
      <c r="P62" s="457"/>
      <c r="Q62" s="457"/>
      <c r="R62" s="188">
        <f>R61/N58</f>
        <v>4482.6012350707069</v>
      </c>
      <c r="AB62" s="435"/>
      <c r="AF62" s="447" t="s">
        <v>421</v>
      </c>
      <c r="AG62" s="447"/>
      <c r="AH62" s="189">
        <f>AH61/I58</f>
        <v>8872.6116408668713</v>
      </c>
      <c r="AI62" s="449"/>
      <c r="AJ62" s="449"/>
      <c r="AK62" s="449"/>
      <c r="AL62" s="189">
        <f>AL61/I58</f>
        <v>443.63058204334368</v>
      </c>
      <c r="AM62" s="189"/>
      <c r="AN62" s="189"/>
      <c r="AO62" s="329"/>
      <c r="AP62" s="330"/>
    </row>
    <row r="63" spans="1:44" ht="15" x14ac:dyDescent="0.25">
      <c r="F63" s="330"/>
      <c r="G63" s="455" t="s">
        <v>517</v>
      </c>
      <c r="H63" s="456"/>
      <c r="I63" s="455"/>
      <c r="J63" s="455"/>
      <c r="K63" s="444">
        <f>K62/K61</f>
        <v>1450.3315789473684</v>
      </c>
      <c r="L63" s="316"/>
      <c r="AH63" s="328"/>
      <c r="AI63" s="328"/>
      <c r="AJ63" s="328"/>
      <c r="AK63" s="328"/>
      <c r="AL63" s="329"/>
      <c r="AM63" s="329"/>
      <c r="AN63" s="329"/>
      <c r="AO63" s="329"/>
      <c r="AP63" s="330"/>
    </row>
    <row r="64" spans="1:44" x14ac:dyDescent="0.2">
      <c r="L64" s="326"/>
      <c r="O64" s="457" t="s">
        <v>423</v>
      </c>
      <c r="P64" s="457"/>
      <c r="Q64" s="457"/>
      <c r="R64" s="458">
        <f>S58+T58+AA58</f>
        <v>297627.45418181812</v>
      </c>
      <c r="U64" s="459"/>
      <c r="V64" s="460"/>
      <c r="W64" s="460"/>
      <c r="AH64" s="328"/>
      <c r="AI64" s="328"/>
      <c r="AJ64" s="328"/>
      <c r="AK64" s="328"/>
      <c r="AL64" s="329"/>
      <c r="AM64" s="329"/>
      <c r="AN64" s="329"/>
      <c r="AO64" s="329"/>
      <c r="AP64" s="330"/>
    </row>
    <row r="65" spans="3:42" ht="15" x14ac:dyDescent="0.25">
      <c r="G65" s="455" t="s">
        <v>518</v>
      </c>
      <c r="H65" s="456"/>
      <c r="I65" s="455"/>
      <c r="J65" s="455"/>
      <c r="K65" s="442">
        <v>230</v>
      </c>
      <c r="L65" s="326"/>
      <c r="O65" s="457" t="s">
        <v>421</v>
      </c>
      <c r="P65" s="457"/>
      <c r="Q65" s="457"/>
      <c r="R65" s="188">
        <f>R64/N58</f>
        <v>1322.7886852525251</v>
      </c>
      <c r="U65" s="193"/>
      <c r="V65" s="460"/>
      <c r="W65" s="460"/>
      <c r="AF65" s="330"/>
      <c r="AG65" s="330"/>
      <c r="AH65" s="461"/>
      <c r="AI65" s="328"/>
      <c r="AJ65" s="328"/>
      <c r="AK65" s="328"/>
      <c r="AL65" s="329"/>
      <c r="AM65" s="329"/>
      <c r="AN65" s="329"/>
      <c r="AO65" s="329"/>
      <c r="AP65" s="330"/>
    </row>
    <row r="66" spans="3:42" ht="15" x14ac:dyDescent="0.25">
      <c r="G66" s="455" t="s">
        <v>519</v>
      </c>
      <c r="H66" s="456"/>
      <c r="I66" s="455"/>
      <c r="J66" s="455"/>
      <c r="K66" s="462">
        <f>J58</f>
        <v>0.65236363636363637</v>
      </c>
      <c r="L66" s="326"/>
      <c r="AF66" s="330"/>
      <c r="AG66" s="330"/>
      <c r="AH66" s="461"/>
      <c r="AI66" s="328"/>
      <c r="AJ66" s="328"/>
      <c r="AK66" s="328"/>
      <c r="AL66" s="329"/>
      <c r="AM66" s="329"/>
      <c r="AN66" s="329"/>
      <c r="AO66" s="329"/>
      <c r="AP66" s="330"/>
    </row>
    <row r="67" spans="3:42" x14ac:dyDescent="0.2">
      <c r="K67" s="326"/>
      <c r="L67" s="326"/>
      <c r="AF67" s="330"/>
      <c r="AG67" s="330"/>
      <c r="AH67" s="329"/>
      <c r="AI67" s="328"/>
      <c r="AJ67" s="328"/>
      <c r="AK67" s="328"/>
      <c r="AL67" s="329"/>
      <c r="AM67" s="329"/>
      <c r="AN67" s="329"/>
      <c r="AO67" s="329"/>
      <c r="AP67" s="330"/>
    </row>
    <row r="68" spans="3:42" x14ac:dyDescent="0.2">
      <c r="X68" s="330"/>
      <c r="Y68" s="330"/>
      <c r="Z68" s="330"/>
      <c r="AA68" s="461"/>
      <c r="AF68" s="330"/>
      <c r="AG68" s="330"/>
      <c r="AH68" s="329"/>
    </row>
    <row r="69" spans="3:42" x14ac:dyDescent="0.2">
      <c r="D69" s="365"/>
      <c r="E69" s="365"/>
      <c r="F69" s="463"/>
      <c r="X69" s="330"/>
      <c r="Y69" s="330"/>
      <c r="Z69" s="330"/>
      <c r="AA69" s="461"/>
      <c r="AF69" s="330"/>
      <c r="AG69" s="330"/>
      <c r="AH69" s="329"/>
    </row>
    <row r="70" spans="3:42" ht="15" thickBot="1" x14ac:dyDescent="0.25">
      <c r="D70" s="365"/>
      <c r="E70" s="365"/>
      <c r="F70" s="365"/>
      <c r="X70" s="330"/>
      <c r="Y70" s="330"/>
      <c r="Z70" s="330"/>
      <c r="AA70" s="330"/>
    </row>
    <row r="71" spans="3:42" ht="15" x14ac:dyDescent="0.25">
      <c r="C71" s="202" t="s">
        <v>452</v>
      </c>
      <c r="D71" s="203"/>
      <c r="E71" s="214">
        <v>200</v>
      </c>
      <c r="F71"/>
      <c r="X71" s="330"/>
      <c r="Y71" s="330"/>
      <c r="Z71" s="330"/>
      <c r="AA71" s="464"/>
    </row>
    <row r="72" spans="3:42" ht="15" x14ac:dyDescent="0.25">
      <c r="C72" s="204" t="s">
        <v>451</v>
      </c>
      <c r="D72" s="129"/>
      <c r="E72" s="470">
        <f>K61</f>
        <v>323</v>
      </c>
      <c r="F72"/>
      <c r="U72" s="465"/>
      <c r="X72" s="330"/>
      <c r="Y72" s="330"/>
      <c r="Z72" s="330"/>
      <c r="AA72" s="329"/>
    </row>
    <row r="73" spans="3:42" ht="15" x14ac:dyDescent="0.25">
      <c r="C73" s="204" t="s">
        <v>450</v>
      </c>
      <c r="D73" s="129"/>
      <c r="E73" s="205">
        <f>E71*E72</f>
        <v>64600</v>
      </c>
      <c r="F73"/>
      <c r="X73" s="330"/>
      <c r="Y73" s="330"/>
      <c r="Z73" s="330"/>
      <c r="AA73" s="329"/>
    </row>
    <row r="74" spans="3:42" ht="15" x14ac:dyDescent="0.25">
      <c r="C74" s="204" t="s">
        <v>444</v>
      </c>
      <c r="D74" s="129"/>
      <c r="E74" s="205">
        <v>2.6761400000000002</v>
      </c>
      <c r="F74"/>
      <c r="X74" s="330"/>
      <c r="Y74" s="330"/>
      <c r="Z74" s="330"/>
      <c r="AA74" s="466"/>
    </row>
    <row r="75" spans="3:42" ht="15" x14ac:dyDescent="0.25">
      <c r="C75" s="204" t="s">
        <v>453</v>
      </c>
      <c r="D75" s="129"/>
      <c r="E75" s="205">
        <f>E73*E74</f>
        <v>172878.644</v>
      </c>
      <c r="F75"/>
    </row>
    <row r="76" spans="3:42" ht="15.75" thickBot="1" x14ac:dyDescent="0.3">
      <c r="C76" s="206" t="s">
        <v>454</v>
      </c>
      <c r="D76" s="207"/>
      <c r="E76" s="215">
        <f>E75/1000</f>
        <v>172.87864400000001</v>
      </c>
      <c r="F76"/>
    </row>
    <row r="77" spans="3:42" ht="15" x14ac:dyDescent="0.25">
      <c r="C77"/>
      <c r="D77"/>
      <c r="E77"/>
      <c r="F77"/>
    </row>
    <row r="78" spans="3:42" ht="15" x14ac:dyDescent="0.25">
      <c r="C78"/>
      <c r="D78"/>
      <c r="E78"/>
      <c r="F78"/>
    </row>
    <row r="79" spans="3:42" ht="15" x14ac:dyDescent="0.25">
      <c r="C79"/>
      <c r="D79"/>
      <c r="E79"/>
      <c r="F79"/>
      <c r="G79" s="467"/>
    </row>
    <row r="80" spans="3:42" ht="15" x14ac:dyDescent="0.25">
      <c r="C80"/>
      <c r="D80"/>
      <c r="E80" t="s">
        <v>446</v>
      </c>
      <c r="F80"/>
      <c r="G80" s="467"/>
    </row>
    <row r="81" spans="3:7" s="323" customFormat="1" ht="15" x14ac:dyDescent="0.25">
      <c r="C81" s="216" t="s">
        <v>456</v>
      </c>
      <c r="D81">
        <f>E73*0.5</f>
        <v>32300</v>
      </c>
      <c r="E81" s="168">
        <f>D81/1000000</f>
        <v>3.2300000000000002E-2</v>
      </c>
      <c r="F81" s="129" t="s">
        <v>520</v>
      </c>
      <c r="G81" s="467"/>
    </row>
    <row r="82" spans="3:7" s="323" customFormat="1" ht="15" x14ac:dyDescent="0.25">
      <c r="C82" s="129" t="s">
        <v>448</v>
      </c>
      <c r="D82" s="212">
        <f>K62</f>
        <v>468457.1</v>
      </c>
      <c r="E82" s="213">
        <f>D82/1000000</f>
        <v>0.46845709999999996</v>
      </c>
      <c r="F82" s="129"/>
      <c r="G82" s="435"/>
    </row>
    <row r="83" spans="3:7" s="323" customFormat="1" ht="15" x14ac:dyDescent="0.25">
      <c r="C83" s="129" t="s">
        <v>455</v>
      </c>
      <c r="D83" s="129">
        <f>E76</f>
        <v>172.87864400000001</v>
      </c>
      <c r="E83" s="211">
        <f>D83</f>
        <v>172.87864400000001</v>
      </c>
      <c r="F83" s="129"/>
      <c r="G83" s="435"/>
    </row>
    <row r="84" spans="3:7" s="323" customFormat="1" x14ac:dyDescent="0.2">
      <c r="D84" s="468"/>
      <c r="F84" s="469"/>
      <c r="G84" s="469"/>
    </row>
  </sheetData>
  <mergeCells count="4">
    <mergeCell ref="AC8:AL8"/>
    <mergeCell ref="B12:L12"/>
    <mergeCell ref="M12:AB12"/>
    <mergeCell ref="AC12:AL1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'[2]Ready Reckoner &amp; Data'!#REF!</xm:f>
          </x14:formula1>
          <xm:sqref>B14:B53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95</v>
      </c>
    </row>
    <row r="6" spans="2:3" x14ac:dyDescent="0.3">
      <c r="B6" s="96" t="s">
        <v>217</v>
      </c>
      <c r="C6" s="31" t="s">
        <v>218</v>
      </c>
    </row>
    <row r="7" spans="2:3" ht="56.25" customHeight="1" x14ac:dyDescent="0.3">
      <c r="B7" s="97" t="s">
        <v>300</v>
      </c>
      <c r="C7" s="31" t="s">
        <v>331</v>
      </c>
    </row>
    <row r="8" spans="2:3" x14ac:dyDescent="0.3">
      <c r="B8" s="98" t="s">
        <v>301</v>
      </c>
      <c r="C8" s="31" t="s">
        <v>302</v>
      </c>
    </row>
    <row r="9" spans="2:3" ht="30" x14ac:dyDescent="0.3">
      <c r="B9" s="97" t="s">
        <v>224</v>
      </c>
      <c r="C9" s="31" t="s">
        <v>330</v>
      </c>
    </row>
    <row r="10" spans="2:3" x14ac:dyDescent="0.3">
      <c r="B10" s="98" t="s">
        <v>215</v>
      </c>
      <c r="C10" s="31" t="s">
        <v>216</v>
      </c>
    </row>
    <row r="12" spans="2:3" x14ac:dyDescent="0.3">
      <c r="B12" s="25" t="s">
        <v>24</v>
      </c>
    </row>
    <row r="13" spans="2:3" x14ac:dyDescent="0.3">
      <c r="B13" s="93" t="s">
        <v>25</v>
      </c>
    </row>
    <row r="14" spans="2:3" x14ac:dyDescent="0.3">
      <c r="B14" s="94" t="s">
        <v>217</v>
      </c>
    </row>
    <row r="15" spans="2:3" x14ac:dyDescent="0.3">
      <c r="B15" s="88" t="s">
        <v>223</v>
      </c>
    </row>
    <row r="16" spans="2:3" x14ac:dyDescent="0.3">
      <c r="B16" s="95" t="s">
        <v>219</v>
      </c>
    </row>
    <row r="17" spans="2:4" x14ac:dyDescent="0.3">
      <c r="B17" s="25"/>
    </row>
    <row r="18" spans="2:4" x14ac:dyDescent="0.3">
      <c r="B18" s="2" t="s">
        <v>64</v>
      </c>
    </row>
    <row r="19" spans="2:4" ht="19.5" customHeight="1" x14ac:dyDescent="0.3">
      <c r="B19" s="2" t="s">
        <v>220</v>
      </c>
    </row>
    <row r="20" spans="2:4" x14ac:dyDescent="0.3">
      <c r="B20" s="91" t="s">
        <v>225</v>
      </c>
    </row>
    <row r="21" spans="2:4" x14ac:dyDescent="0.3">
      <c r="B21" s="91" t="s">
        <v>226</v>
      </c>
    </row>
    <row r="22" spans="2:4" ht="25.5" customHeight="1" x14ac:dyDescent="0.3">
      <c r="B22" s="90" t="s">
        <v>97</v>
      </c>
    </row>
    <row r="23" spans="2:4" ht="10.5" customHeight="1" x14ac:dyDescent="0.3"/>
    <row r="24" spans="2:4" ht="24.75" customHeight="1" x14ac:dyDescent="0.3">
      <c r="B24" s="91" t="s">
        <v>221</v>
      </c>
      <c r="C24" s="91"/>
      <c r="D24" s="91"/>
    </row>
    <row r="25" spans="2:4" ht="26.25" customHeight="1" x14ac:dyDescent="0.3">
      <c r="B25" s="91" t="s">
        <v>310</v>
      </c>
      <c r="C25" s="91"/>
      <c r="D25" s="91"/>
    </row>
    <row r="26" spans="2:4" ht="32.25" customHeight="1" x14ac:dyDescent="0.3">
      <c r="B26" s="475" t="s">
        <v>222</v>
      </c>
      <c r="C26" s="475"/>
      <c r="D26" s="475"/>
    </row>
    <row r="28" spans="2:4" x14ac:dyDescent="0.3">
      <c r="B28" s="2" t="s">
        <v>96</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9"/>
  <sheetViews>
    <sheetView showGridLines="0" zoomScale="90" zoomScaleNormal="90" workbookViewId="0">
      <pane ySplit="3" topLeftCell="A25" activePane="bottomLeft" state="frozen"/>
      <selection activeCell="A7" sqref="A7"/>
      <selection pane="bottomLeft" activeCell="B30" sqref="B30:K35"/>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334</v>
      </c>
      <c r="Z1" s="26" t="s">
        <v>29</v>
      </c>
    </row>
    <row r="2" spans="2:26" x14ac:dyDescent="0.3">
      <c r="B2" s="480" t="s">
        <v>586</v>
      </c>
      <c r="C2" s="481"/>
      <c r="D2" s="481"/>
      <c r="E2" s="481"/>
      <c r="F2" s="482"/>
      <c r="Z2" s="26" t="s">
        <v>79</v>
      </c>
    </row>
    <row r="3" spans="2:26" ht="24.75" customHeight="1" x14ac:dyDescent="0.3">
      <c r="B3" s="483"/>
      <c r="C3" s="484"/>
      <c r="D3" s="484"/>
      <c r="E3" s="484"/>
      <c r="F3" s="485"/>
    </row>
    <row r="4" spans="2:26" ht="18" customHeight="1" x14ac:dyDescent="0.3">
      <c r="B4" s="25" t="s">
        <v>78</v>
      </c>
      <c r="C4" s="27"/>
      <c r="D4" s="27"/>
      <c r="E4" s="27"/>
      <c r="F4" s="27"/>
    </row>
    <row r="5" spans="2:26" ht="24.75" customHeight="1" x14ac:dyDescent="0.3">
      <c r="B5" s="494"/>
      <c r="C5" s="495"/>
      <c r="D5" s="495"/>
      <c r="E5" s="495"/>
      <c r="F5" s="496"/>
    </row>
    <row r="6" spans="2:26" ht="13.5" customHeight="1" x14ac:dyDescent="0.3">
      <c r="B6" s="27"/>
      <c r="C6" s="27"/>
      <c r="D6" s="27"/>
      <c r="E6" s="27"/>
      <c r="F6" s="27"/>
    </row>
    <row r="7" spans="2:26" x14ac:dyDescent="0.3">
      <c r="B7" s="25" t="s">
        <v>48</v>
      </c>
    </row>
    <row r="8" spans="2:26" x14ac:dyDescent="0.3">
      <c r="B8" s="490" t="s">
        <v>335</v>
      </c>
      <c r="C8" s="491"/>
      <c r="D8" s="486" t="s">
        <v>30</v>
      </c>
      <c r="E8" s="486"/>
      <c r="F8" s="486"/>
    </row>
    <row r="9" spans="2:26" ht="22.5" customHeight="1" x14ac:dyDescent="0.3">
      <c r="B9" s="492" t="s">
        <v>343</v>
      </c>
      <c r="C9" s="493"/>
      <c r="D9" s="479" t="s">
        <v>424</v>
      </c>
      <c r="E9" s="479"/>
      <c r="F9" s="479"/>
    </row>
    <row r="10" spans="2:26" ht="35.25" customHeight="1" x14ac:dyDescent="0.3">
      <c r="B10" s="492" t="s">
        <v>344</v>
      </c>
      <c r="C10" s="493"/>
      <c r="D10" s="487" t="s">
        <v>425</v>
      </c>
      <c r="E10" s="488"/>
      <c r="F10" s="489"/>
    </row>
    <row r="11" spans="2:26" ht="39" customHeight="1" x14ac:dyDescent="0.3">
      <c r="B11" s="492"/>
      <c r="C11" s="493"/>
      <c r="D11" s="479"/>
      <c r="E11" s="479"/>
      <c r="F11" s="479"/>
    </row>
    <row r="12" spans="2:26" ht="22.5" customHeight="1" x14ac:dyDescent="0.3">
      <c r="B12" s="492"/>
      <c r="C12" s="493"/>
      <c r="D12" s="479"/>
      <c r="E12" s="479"/>
      <c r="F12" s="479"/>
    </row>
    <row r="13" spans="2:26" ht="42" customHeight="1" x14ac:dyDescent="0.3">
      <c r="B13" s="492"/>
      <c r="C13" s="493"/>
      <c r="D13" s="479"/>
      <c r="E13" s="479"/>
      <c r="F13" s="479"/>
    </row>
    <row r="14" spans="2:26" ht="22.5" customHeight="1" x14ac:dyDescent="0.3">
      <c r="B14" s="492"/>
      <c r="C14" s="493"/>
      <c r="D14" s="479"/>
      <c r="E14" s="479"/>
      <c r="F14" s="479"/>
    </row>
    <row r="15" spans="2:26" ht="45.75" customHeight="1" x14ac:dyDescent="0.3">
      <c r="B15" s="492"/>
      <c r="C15" s="493"/>
      <c r="D15" s="479"/>
      <c r="E15" s="479"/>
      <c r="F15" s="479"/>
    </row>
    <row r="16" spans="2:26" ht="28.5" customHeight="1" x14ac:dyDescent="0.3">
      <c r="B16" s="492"/>
      <c r="C16" s="493"/>
      <c r="D16" s="479"/>
      <c r="E16" s="479"/>
      <c r="F16" s="479"/>
    </row>
    <row r="17" spans="2:11" ht="22.5" customHeight="1" x14ac:dyDescent="0.3">
      <c r="B17" s="476"/>
      <c r="C17" s="477"/>
      <c r="D17" s="478"/>
      <c r="E17" s="478"/>
      <c r="F17" s="478"/>
    </row>
    <row r="18" spans="2:11" ht="22.5" customHeight="1" x14ac:dyDescent="0.3">
      <c r="B18" s="476"/>
      <c r="C18" s="477"/>
      <c r="D18" s="478"/>
      <c r="E18" s="478"/>
      <c r="F18" s="478"/>
    </row>
    <row r="19" spans="2:11" ht="22.5" customHeight="1" x14ac:dyDescent="0.3">
      <c r="B19" s="476"/>
      <c r="C19" s="477"/>
      <c r="D19" s="478"/>
      <c r="E19" s="478"/>
      <c r="F19" s="478"/>
    </row>
    <row r="20" spans="2:11" ht="22.5" customHeight="1" x14ac:dyDescent="0.3">
      <c r="B20" s="476"/>
      <c r="C20" s="477"/>
      <c r="D20" s="478"/>
      <c r="E20" s="478"/>
      <c r="F20" s="478"/>
    </row>
    <row r="21" spans="2:11" ht="22.5" customHeight="1" x14ac:dyDescent="0.3">
      <c r="B21" s="476"/>
      <c r="C21" s="477"/>
      <c r="D21" s="478"/>
      <c r="E21" s="478"/>
      <c r="F21" s="478"/>
    </row>
    <row r="22" spans="2:11" ht="22.5" customHeight="1" x14ac:dyDescent="0.3">
      <c r="B22" s="476"/>
      <c r="C22" s="477"/>
      <c r="D22" s="478"/>
      <c r="E22" s="478"/>
      <c r="F22" s="478"/>
    </row>
    <row r="23" spans="2:11" ht="22.5" customHeight="1" x14ac:dyDescent="0.3">
      <c r="B23" s="476"/>
      <c r="C23" s="477"/>
      <c r="D23" s="478"/>
      <c r="E23" s="478"/>
      <c r="F23" s="478"/>
    </row>
    <row r="24" spans="2:11" ht="12.75" customHeight="1" x14ac:dyDescent="0.3">
      <c r="B24" s="28"/>
      <c r="C24" s="28"/>
      <c r="D24" s="29"/>
      <c r="E24" s="29"/>
      <c r="F24" s="29"/>
    </row>
    <row r="25" spans="2:11" x14ac:dyDescent="0.3">
      <c r="B25" s="25" t="s">
        <v>49</v>
      </c>
    </row>
    <row r="26" spans="2:11" ht="38.25" customHeight="1" x14ac:dyDescent="0.3">
      <c r="B26" s="498" t="s">
        <v>47</v>
      </c>
      <c r="C26" s="500" t="s">
        <v>27</v>
      </c>
      <c r="D26" s="500" t="s">
        <v>28</v>
      </c>
      <c r="E26" s="500" t="s">
        <v>30</v>
      </c>
      <c r="F26" s="498" t="s">
        <v>338</v>
      </c>
      <c r="G26" s="497" t="s">
        <v>99</v>
      </c>
      <c r="H26" s="497"/>
      <c r="I26" s="497"/>
      <c r="J26" s="497"/>
      <c r="K26" s="497"/>
    </row>
    <row r="27" spans="2:11" ht="36" customHeight="1" x14ac:dyDescent="0.3">
      <c r="B27" s="499"/>
      <c r="C27" s="501"/>
      <c r="D27" s="501"/>
      <c r="E27" s="501"/>
      <c r="F27" s="499"/>
      <c r="G27" s="64" t="s">
        <v>100</v>
      </c>
      <c r="H27" s="64" t="s">
        <v>101</v>
      </c>
      <c r="I27" s="64" t="s">
        <v>102</v>
      </c>
      <c r="J27" s="64" t="s">
        <v>103</v>
      </c>
      <c r="K27" s="64" t="s">
        <v>104</v>
      </c>
    </row>
    <row r="28" spans="2:11" ht="27.75" customHeight="1" x14ac:dyDescent="0.3">
      <c r="B28" s="30">
        <v>1</v>
      </c>
      <c r="C28" s="31" t="s">
        <v>459</v>
      </c>
      <c r="D28" s="30" t="s">
        <v>79</v>
      </c>
      <c r="E28" s="31"/>
      <c r="F28" s="30"/>
      <c r="G28" s="65">
        <f>'Option 1 (Baseline)'!$C$4</f>
        <v>-3.3654953360435229</v>
      </c>
      <c r="H28" s="65">
        <f>'Option 1 (Baseline)'!$C$5</f>
        <v>-3.6786248217466206</v>
      </c>
      <c r="I28" s="65">
        <f>'Option 1 (Baseline)'!$C$6</f>
        <v>-3.8869548222738848</v>
      </c>
      <c r="J28" s="65">
        <f>'Option 1 (Baseline)'!$C$7</f>
        <v>-4.0991850133521401</v>
      </c>
      <c r="K28" s="66"/>
    </row>
    <row r="29" spans="2:11" ht="27.75" customHeight="1" x14ac:dyDescent="0.3">
      <c r="B29" s="30">
        <v>2</v>
      </c>
      <c r="C29" s="30" t="s">
        <v>460</v>
      </c>
      <c r="D29" s="30" t="s">
        <v>29</v>
      </c>
      <c r="E29" s="31"/>
      <c r="F29" s="30"/>
      <c r="G29" s="65">
        <f>'Option 2'!$C$4</f>
        <v>-1.0403166901909422</v>
      </c>
      <c r="H29" s="65">
        <f>'Option 2'!$C$5</f>
        <v>-1.2343470479023735</v>
      </c>
      <c r="I29" s="65">
        <f>'Option 2'!$C$6</f>
        <v>-1.3634575102540383</v>
      </c>
      <c r="J29" s="65">
        <f>'Option 2'!$C$7</f>
        <v>-1.4950223024295952</v>
      </c>
      <c r="K29" s="30"/>
    </row>
    <row r="30" spans="2:11" ht="27.75" customHeight="1" x14ac:dyDescent="0.3">
      <c r="B30" s="472">
        <v>3</v>
      </c>
      <c r="C30" s="472"/>
      <c r="D30" s="472"/>
      <c r="E30" s="473"/>
      <c r="F30" s="472"/>
      <c r="G30" s="474"/>
      <c r="H30" s="474"/>
      <c r="I30" s="474"/>
      <c r="J30" s="474"/>
      <c r="K30" s="472"/>
    </row>
    <row r="31" spans="2:11" ht="27.75" customHeight="1" x14ac:dyDescent="0.3">
      <c r="B31" s="472">
        <v>4</v>
      </c>
      <c r="C31" s="472"/>
      <c r="D31" s="472"/>
      <c r="E31" s="473"/>
      <c r="F31" s="472"/>
      <c r="G31" s="474"/>
      <c r="H31" s="474"/>
      <c r="I31" s="474"/>
      <c r="J31" s="474"/>
      <c r="K31" s="472"/>
    </row>
    <row r="32" spans="2:11" ht="27.75" customHeight="1" x14ac:dyDescent="0.3">
      <c r="B32" s="472">
        <v>5</v>
      </c>
      <c r="C32" s="472"/>
      <c r="D32" s="472"/>
      <c r="E32" s="473"/>
      <c r="F32" s="472"/>
      <c r="G32" s="474"/>
      <c r="H32" s="474"/>
      <c r="I32" s="474"/>
      <c r="J32" s="474"/>
      <c r="K32" s="472"/>
    </row>
    <row r="33" spans="2:11" ht="27.75" customHeight="1" x14ac:dyDescent="0.3">
      <c r="B33" s="472">
        <v>6</v>
      </c>
      <c r="C33" s="472"/>
      <c r="D33" s="472"/>
      <c r="E33" s="473"/>
      <c r="F33" s="472"/>
      <c r="G33" s="474"/>
      <c r="H33" s="474"/>
      <c r="I33" s="474"/>
      <c r="J33" s="474"/>
      <c r="K33" s="472"/>
    </row>
    <row r="34" spans="2:11" ht="27.75" customHeight="1" x14ac:dyDescent="0.3">
      <c r="B34" s="472">
        <v>7</v>
      </c>
      <c r="C34" s="472"/>
      <c r="D34" s="472"/>
      <c r="E34" s="473"/>
      <c r="F34" s="472"/>
      <c r="G34" s="474"/>
      <c r="H34" s="474"/>
      <c r="I34" s="474"/>
      <c r="J34" s="474"/>
      <c r="K34" s="472"/>
    </row>
    <row r="35" spans="2:11" ht="27.75" customHeight="1" x14ac:dyDescent="0.3">
      <c r="B35" s="472">
        <v>8</v>
      </c>
      <c r="C35" s="472"/>
      <c r="D35" s="472"/>
      <c r="E35" s="473"/>
      <c r="F35" s="472"/>
      <c r="G35" s="474"/>
      <c r="H35" s="474"/>
      <c r="I35" s="474"/>
      <c r="J35" s="474"/>
      <c r="K35" s="472"/>
    </row>
    <row r="39" spans="2:11" x14ac:dyDescent="0.3">
      <c r="B39" s="2" t="s">
        <v>105</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C4" sqref="C4"/>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9" t="s">
        <v>294</v>
      </c>
      <c r="E3" s="21"/>
      <c r="F3" s="77"/>
      <c r="G3" s="127" t="s">
        <v>303</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307</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308</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304</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305</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204</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306</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502" t="s">
        <v>73</v>
      </c>
      <c r="C13" s="503"/>
      <c r="D13" s="126" t="s">
        <v>322</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504"/>
      <c r="C14" s="505"/>
      <c r="D14" s="43" t="s">
        <v>106</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506" t="s">
        <v>323</v>
      </c>
      <c r="C15" s="42" t="s">
        <v>316</v>
      </c>
      <c r="D15" s="125">
        <v>1.3408686121386491</v>
      </c>
      <c r="E15" s="21"/>
      <c r="F15" s="70" t="s">
        <v>89</v>
      </c>
      <c r="G15" s="39"/>
      <c r="H15" s="39"/>
      <c r="I15" s="76"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506"/>
      <c r="C16" s="42" t="s">
        <v>317</v>
      </c>
      <c r="D16" s="125">
        <v>1.3004251926654264</v>
      </c>
      <c r="E16" s="83"/>
      <c r="F16" s="71" t="s">
        <v>154</v>
      </c>
      <c r="G16" s="39"/>
      <c r="H16" s="39"/>
      <c r="I16" s="76" t="s">
        <v>324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506"/>
      <c r="C17" s="42" t="s">
        <v>318</v>
      </c>
      <c r="D17" s="125">
        <v>1.2670349113192076</v>
      </c>
      <c r="E17" s="83"/>
      <c r="F17" s="70" t="s">
        <v>207</v>
      </c>
      <c r="G17" s="72"/>
      <c r="H17" s="72"/>
      <c r="I17" s="79" t="s">
        <v>201</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506"/>
      <c r="C18" s="42" t="s">
        <v>319</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506"/>
      <c r="C19" s="42" t="s">
        <v>320</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506"/>
      <c r="C20" s="42" t="s">
        <v>321</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506"/>
      <c r="C21" s="42" t="s">
        <v>250</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506"/>
      <c r="C22" s="42" t="s">
        <v>251</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506"/>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506"/>
      <c r="C24" s="42" t="s">
        <v>106</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311</v>
      </c>
    </row>
    <row r="28" spans="1:59" x14ac:dyDescent="0.3">
      <c r="B28" s="20" t="s">
        <v>247</v>
      </c>
      <c r="E28" s="74"/>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3"/>
    </row>
    <row r="33" spans="2:5" ht="47.25" customHeight="1" x14ac:dyDescent="0.3">
      <c r="D33" s="106" t="s">
        <v>290</v>
      </c>
    </row>
    <row r="34" spans="2:5" x14ac:dyDescent="0.3">
      <c r="B34" s="111" t="s">
        <v>244</v>
      </c>
      <c r="C34" s="20" t="s">
        <v>250</v>
      </c>
      <c r="D34" s="20">
        <f>0.58982*1000</f>
        <v>589.82000000000005</v>
      </c>
      <c r="E34" s="20" t="s">
        <v>291</v>
      </c>
    </row>
    <row r="35" spans="2:5" x14ac:dyDescent="0.3">
      <c r="B35" s="111" t="s">
        <v>245</v>
      </c>
      <c r="C35" s="20" t="s">
        <v>251</v>
      </c>
      <c r="D35" s="73">
        <f>D34-$D$78</f>
        <v>575.32450000000006</v>
      </c>
    </row>
    <row r="36" spans="2:5" x14ac:dyDescent="0.3">
      <c r="B36" s="111" t="s">
        <v>246</v>
      </c>
      <c r="C36" s="20" t="s">
        <v>72</v>
      </c>
      <c r="D36" s="73">
        <f t="shared" ref="D36:D73" si="2">D35-$D$78</f>
        <v>560.82900000000006</v>
      </c>
    </row>
    <row r="37" spans="2:5" x14ac:dyDescent="0.3">
      <c r="C37" s="20" t="s">
        <v>106</v>
      </c>
      <c r="D37" s="73">
        <f t="shared" si="2"/>
        <v>546.33350000000007</v>
      </c>
    </row>
    <row r="38" spans="2:5" x14ac:dyDescent="0.3">
      <c r="C38" s="20" t="s">
        <v>252</v>
      </c>
      <c r="D38" s="73">
        <f t="shared" si="2"/>
        <v>531.83800000000008</v>
      </c>
    </row>
    <row r="39" spans="2:5" x14ac:dyDescent="0.3">
      <c r="C39" s="20" t="s">
        <v>253</v>
      </c>
      <c r="D39" s="73">
        <f t="shared" si="2"/>
        <v>517.34250000000009</v>
      </c>
    </row>
    <row r="40" spans="2:5" x14ac:dyDescent="0.3">
      <c r="C40" s="20" t="s">
        <v>254</v>
      </c>
      <c r="D40" s="73">
        <f t="shared" si="2"/>
        <v>502.84700000000009</v>
      </c>
    </row>
    <row r="41" spans="2:5" x14ac:dyDescent="0.3">
      <c r="C41" s="20" t="s">
        <v>255</v>
      </c>
      <c r="D41" s="73">
        <f t="shared" si="2"/>
        <v>488.3515000000001</v>
      </c>
    </row>
    <row r="42" spans="2:5" x14ac:dyDescent="0.3">
      <c r="C42" s="20" t="s">
        <v>256</v>
      </c>
      <c r="D42" s="73">
        <f t="shared" si="2"/>
        <v>473.85600000000011</v>
      </c>
    </row>
    <row r="43" spans="2:5" x14ac:dyDescent="0.3">
      <c r="C43" s="20" t="s">
        <v>257</v>
      </c>
      <c r="D43" s="73">
        <f t="shared" si="2"/>
        <v>459.36050000000012</v>
      </c>
    </row>
    <row r="44" spans="2:5" x14ac:dyDescent="0.3">
      <c r="C44" s="20" t="s">
        <v>258</v>
      </c>
      <c r="D44" s="73">
        <f t="shared" si="2"/>
        <v>444.86500000000012</v>
      </c>
    </row>
    <row r="45" spans="2:5" x14ac:dyDescent="0.3">
      <c r="C45" s="20" t="s">
        <v>259</v>
      </c>
      <c r="D45" s="73">
        <f t="shared" si="2"/>
        <v>430.36950000000013</v>
      </c>
    </row>
    <row r="46" spans="2:5" x14ac:dyDescent="0.3">
      <c r="C46" s="20" t="s">
        <v>260</v>
      </c>
      <c r="D46" s="73">
        <f t="shared" si="2"/>
        <v>415.87400000000014</v>
      </c>
    </row>
    <row r="47" spans="2:5" x14ac:dyDescent="0.3">
      <c r="C47" s="20" t="s">
        <v>261</v>
      </c>
      <c r="D47" s="73">
        <f t="shared" si="2"/>
        <v>401.37850000000014</v>
      </c>
    </row>
    <row r="48" spans="2:5" x14ac:dyDescent="0.3">
      <c r="C48" s="20" t="s">
        <v>262</v>
      </c>
      <c r="D48" s="73">
        <f t="shared" si="2"/>
        <v>386.88300000000015</v>
      </c>
    </row>
    <row r="49" spans="3:4" x14ac:dyDescent="0.3">
      <c r="C49" s="20" t="s">
        <v>263</v>
      </c>
      <c r="D49" s="73">
        <f t="shared" si="2"/>
        <v>372.38750000000016</v>
      </c>
    </row>
    <row r="50" spans="3:4" x14ac:dyDescent="0.3">
      <c r="C50" s="20" t="s">
        <v>264</v>
      </c>
      <c r="D50" s="73">
        <f t="shared" si="2"/>
        <v>357.89200000000017</v>
      </c>
    </row>
    <row r="51" spans="3:4" x14ac:dyDescent="0.3">
      <c r="C51" s="20" t="s">
        <v>265</v>
      </c>
      <c r="D51" s="73">
        <f t="shared" si="2"/>
        <v>343.39650000000017</v>
      </c>
    </row>
    <row r="52" spans="3:4" x14ac:dyDescent="0.3">
      <c r="C52" s="20" t="s">
        <v>266</v>
      </c>
      <c r="D52" s="73">
        <f t="shared" si="2"/>
        <v>328.90100000000018</v>
      </c>
    </row>
    <row r="53" spans="3:4" x14ac:dyDescent="0.3">
      <c r="C53" s="20" t="s">
        <v>267</v>
      </c>
      <c r="D53" s="73">
        <f t="shared" si="2"/>
        <v>314.40550000000019</v>
      </c>
    </row>
    <row r="54" spans="3:4" x14ac:dyDescent="0.3">
      <c r="C54" s="20" t="s">
        <v>268</v>
      </c>
      <c r="D54" s="73">
        <f t="shared" si="2"/>
        <v>299.9100000000002</v>
      </c>
    </row>
    <row r="55" spans="3:4" x14ac:dyDescent="0.3">
      <c r="C55" s="20" t="s">
        <v>269</v>
      </c>
      <c r="D55" s="73">
        <f t="shared" si="2"/>
        <v>285.4145000000002</v>
      </c>
    </row>
    <row r="56" spans="3:4" x14ac:dyDescent="0.3">
      <c r="C56" s="20" t="s">
        <v>270</v>
      </c>
      <c r="D56" s="73">
        <f t="shared" si="2"/>
        <v>270.91900000000021</v>
      </c>
    </row>
    <row r="57" spans="3:4" x14ac:dyDescent="0.3">
      <c r="C57" s="20" t="s">
        <v>271</v>
      </c>
      <c r="D57" s="73">
        <f t="shared" si="2"/>
        <v>256.42350000000022</v>
      </c>
    </row>
    <row r="58" spans="3:4" x14ac:dyDescent="0.3">
      <c r="C58" s="20" t="s">
        <v>272</v>
      </c>
      <c r="D58" s="73">
        <f t="shared" si="2"/>
        <v>241.92800000000022</v>
      </c>
    </row>
    <row r="59" spans="3:4" x14ac:dyDescent="0.3">
      <c r="C59" s="20" t="s">
        <v>273</v>
      </c>
      <c r="D59" s="73">
        <f t="shared" si="2"/>
        <v>227.43250000000023</v>
      </c>
    </row>
    <row r="60" spans="3:4" x14ac:dyDescent="0.3">
      <c r="C60" s="20" t="s">
        <v>274</v>
      </c>
      <c r="D60" s="73">
        <f t="shared" si="2"/>
        <v>212.93700000000024</v>
      </c>
    </row>
    <row r="61" spans="3:4" x14ac:dyDescent="0.3">
      <c r="C61" s="20" t="s">
        <v>275</v>
      </c>
      <c r="D61" s="73">
        <f t="shared" si="2"/>
        <v>198.44150000000025</v>
      </c>
    </row>
    <row r="62" spans="3:4" x14ac:dyDescent="0.3">
      <c r="C62" s="20" t="s">
        <v>276</v>
      </c>
      <c r="D62" s="73">
        <f t="shared" si="2"/>
        <v>183.94600000000025</v>
      </c>
    </row>
    <row r="63" spans="3:4" x14ac:dyDescent="0.3">
      <c r="C63" s="20" t="s">
        <v>277</v>
      </c>
      <c r="D63" s="73">
        <f t="shared" si="2"/>
        <v>169.45050000000026</v>
      </c>
    </row>
    <row r="64" spans="3:4" x14ac:dyDescent="0.3">
      <c r="C64" s="20" t="s">
        <v>278</v>
      </c>
      <c r="D64" s="73">
        <f t="shared" si="2"/>
        <v>154.95500000000027</v>
      </c>
    </row>
    <row r="65" spans="3:5" x14ac:dyDescent="0.3">
      <c r="C65" s="20" t="s">
        <v>279</v>
      </c>
      <c r="D65" s="73">
        <f t="shared" si="2"/>
        <v>140.45950000000028</v>
      </c>
    </row>
    <row r="66" spans="3:5" x14ac:dyDescent="0.3">
      <c r="C66" s="20" t="s">
        <v>280</v>
      </c>
      <c r="D66" s="73">
        <f t="shared" si="2"/>
        <v>125.96400000000027</v>
      </c>
    </row>
    <row r="67" spans="3:5" x14ac:dyDescent="0.3">
      <c r="C67" s="20" t="s">
        <v>281</v>
      </c>
      <c r="D67" s="73">
        <f t="shared" si="2"/>
        <v>111.46850000000026</v>
      </c>
    </row>
    <row r="68" spans="3:5" x14ac:dyDescent="0.3">
      <c r="C68" s="20" t="s">
        <v>282</v>
      </c>
      <c r="D68" s="73">
        <f t="shared" si="2"/>
        <v>96.973000000000255</v>
      </c>
    </row>
    <row r="69" spans="3:5" x14ac:dyDescent="0.3">
      <c r="C69" s="20" t="s">
        <v>283</v>
      </c>
      <c r="D69" s="73">
        <f t="shared" si="2"/>
        <v>82.477500000000248</v>
      </c>
    </row>
    <row r="70" spans="3:5" x14ac:dyDescent="0.3">
      <c r="C70" s="20" t="s">
        <v>284</v>
      </c>
      <c r="D70" s="73">
        <f t="shared" si="2"/>
        <v>67.982000000000241</v>
      </c>
    </row>
    <row r="71" spans="3:5" x14ac:dyDescent="0.3">
      <c r="C71" s="20" t="s">
        <v>285</v>
      </c>
      <c r="D71" s="73">
        <f t="shared" si="2"/>
        <v>53.486500000000241</v>
      </c>
    </row>
    <row r="72" spans="3:5" x14ac:dyDescent="0.3">
      <c r="C72" s="20" t="s">
        <v>286</v>
      </c>
      <c r="D72" s="73">
        <f t="shared" si="2"/>
        <v>38.991000000000241</v>
      </c>
    </row>
    <row r="73" spans="3:5" x14ac:dyDescent="0.3">
      <c r="C73" s="20" t="s">
        <v>287</v>
      </c>
      <c r="D73" s="73">
        <f t="shared" si="2"/>
        <v>24.495500000000241</v>
      </c>
    </row>
    <row r="74" spans="3:5" x14ac:dyDescent="0.3">
      <c r="C74" s="20" t="s">
        <v>288</v>
      </c>
      <c r="D74" s="73">
        <v>10</v>
      </c>
    </row>
    <row r="75" spans="3:5" x14ac:dyDescent="0.3">
      <c r="C75" s="20" t="s">
        <v>289</v>
      </c>
      <c r="D75" s="73">
        <f>D73-D78</f>
        <v>10.00000000000024</v>
      </c>
      <c r="E75" s="20" t="s">
        <v>292</v>
      </c>
    </row>
    <row r="78" spans="3:5" x14ac:dyDescent="0.3">
      <c r="D78" s="107">
        <f>(D34-D74)/40</f>
        <v>14.495500000000002</v>
      </c>
      <c r="E78" s="20" t="s">
        <v>293</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N63"/>
  <sheetViews>
    <sheetView topLeftCell="S1" zoomScale="70" zoomScaleNormal="70" workbookViewId="0">
      <selection activeCell="AL19" sqref="AL19"/>
    </sheetView>
  </sheetViews>
  <sheetFormatPr defaultRowHeight="15" x14ac:dyDescent="0.25"/>
  <cols>
    <col min="1" max="1" width="10.85546875" bestFit="1" customWidth="1"/>
    <col min="2" max="2" width="26" bestFit="1" customWidth="1"/>
    <col min="3" max="3" width="14.42578125" bestFit="1" customWidth="1"/>
    <col min="4" max="4" width="20" bestFit="1" customWidth="1"/>
    <col min="5" max="5" width="16.28515625" bestFit="1" customWidth="1"/>
    <col min="6" max="6" width="18.140625" bestFit="1" customWidth="1"/>
    <col min="7" max="7" width="17.85546875" bestFit="1" customWidth="1"/>
    <col min="8" max="8" width="14.85546875" bestFit="1" customWidth="1"/>
    <col min="9" max="9" width="15" bestFit="1" customWidth="1"/>
    <col min="10" max="10" width="12.28515625" bestFit="1" customWidth="1"/>
    <col min="11" max="11" width="12.28515625" customWidth="1"/>
    <col min="12" max="12" width="17.42578125" bestFit="1" customWidth="1"/>
    <col min="13" max="13" width="17.140625" bestFit="1" customWidth="1"/>
    <col min="14" max="14" width="12" bestFit="1" customWidth="1"/>
    <col min="15" max="15" width="15" bestFit="1" customWidth="1"/>
    <col min="16" max="16" width="17" customWidth="1"/>
    <col min="17" max="17" width="22.28515625" bestFit="1" customWidth="1"/>
    <col min="18" max="18" width="14.140625" customWidth="1"/>
    <col min="19" max="24" width="13.140625" customWidth="1"/>
    <col min="25" max="25" width="17.7109375" customWidth="1"/>
    <col min="26" max="27" width="14.28515625" customWidth="1"/>
    <col min="28" max="28" width="13.7109375" customWidth="1"/>
    <col min="29" max="29" width="19.140625" bestFit="1" customWidth="1"/>
    <col min="30" max="30" width="14.28515625" bestFit="1" customWidth="1"/>
    <col min="31" max="31" width="19.42578125" bestFit="1" customWidth="1"/>
    <col min="32" max="32" width="11.5703125" bestFit="1" customWidth="1"/>
    <col min="33" max="34" width="11.5703125" customWidth="1"/>
    <col min="35" max="35" width="18.42578125" bestFit="1" customWidth="1"/>
    <col min="36" max="37" width="18.42578125" customWidth="1"/>
    <col min="38" max="38" width="16.85546875" customWidth="1"/>
    <col min="39" max="39" width="16.42578125" bestFit="1" customWidth="1"/>
    <col min="40" max="40" width="14.28515625" bestFit="1" customWidth="1"/>
  </cols>
  <sheetData>
    <row r="1" spans="1:40" ht="18.75" x14ac:dyDescent="0.3">
      <c r="A1" s="1" t="s">
        <v>299</v>
      </c>
      <c r="G1" s="137"/>
      <c r="H1" s="137"/>
      <c r="I1" s="137"/>
      <c r="Q1" s="138" t="s">
        <v>345</v>
      </c>
      <c r="R1" s="139">
        <v>55</v>
      </c>
      <c r="AE1" s="140"/>
      <c r="AF1" s="140"/>
      <c r="AG1" s="140"/>
      <c r="AH1" s="140"/>
      <c r="AI1" s="141"/>
      <c r="AJ1" s="141"/>
      <c r="AK1" s="141"/>
      <c r="AL1" s="141"/>
      <c r="AM1" s="142"/>
      <c r="AN1" s="140"/>
    </row>
    <row r="2" spans="1:40" x14ac:dyDescent="0.25">
      <c r="A2" t="s">
        <v>76</v>
      </c>
      <c r="G2" s="137"/>
      <c r="H2" s="137"/>
      <c r="I2" s="137"/>
      <c r="L2" s="143" t="s">
        <v>346</v>
      </c>
      <c r="M2" s="143"/>
      <c r="N2" s="143"/>
      <c r="Q2" t="s">
        <v>347</v>
      </c>
      <c r="R2">
        <v>4</v>
      </c>
      <c r="AA2" s="144" t="s">
        <v>348</v>
      </c>
      <c r="AB2" s="144"/>
      <c r="AC2" s="144"/>
      <c r="AE2" s="140"/>
      <c r="AF2" s="140"/>
      <c r="AG2" s="140"/>
      <c r="AH2" s="140"/>
      <c r="AI2" s="141"/>
      <c r="AJ2" s="141"/>
      <c r="AK2" s="141"/>
      <c r="AL2" s="141"/>
      <c r="AM2" s="142"/>
      <c r="AN2" s="140"/>
    </row>
    <row r="3" spans="1:40" x14ac:dyDescent="0.25">
      <c r="B3" s="145" t="s">
        <v>349</v>
      </c>
      <c r="G3" s="137"/>
      <c r="H3" s="137"/>
      <c r="I3" s="137"/>
      <c r="L3" s="143" t="s">
        <v>350</v>
      </c>
      <c r="M3" s="143"/>
      <c r="N3" s="146">
        <v>5.58</v>
      </c>
      <c r="Q3" t="s">
        <v>351</v>
      </c>
      <c r="R3" s="147">
        <v>500</v>
      </c>
      <c r="AA3" s="144" t="s">
        <v>350</v>
      </c>
      <c r="AB3" s="144"/>
      <c r="AC3" s="148">
        <v>11.15</v>
      </c>
      <c r="AE3" s="140"/>
      <c r="AF3" s="140"/>
      <c r="AG3" s="140"/>
      <c r="AH3" s="140"/>
      <c r="AI3" s="141"/>
      <c r="AJ3" s="141"/>
      <c r="AK3" s="141"/>
      <c r="AL3" s="141"/>
      <c r="AM3" s="142"/>
      <c r="AN3" s="140"/>
    </row>
    <row r="4" spans="1:40" x14ac:dyDescent="0.25">
      <c r="G4" s="137"/>
      <c r="H4" s="137"/>
      <c r="I4" s="137"/>
      <c r="L4" s="143" t="s">
        <v>352</v>
      </c>
      <c r="M4" s="143"/>
      <c r="N4" s="146">
        <v>7.8</v>
      </c>
      <c r="AA4" s="144" t="s">
        <v>352</v>
      </c>
      <c r="AB4" s="144"/>
      <c r="AC4" s="148">
        <v>15.6</v>
      </c>
      <c r="AE4" s="140"/>
      <c r="AF4" s="140"/>
      <c r="AG4" s="140"/>
      <c r="AH4" s="140"/>
      <c r="AI4" s="141"/>
      <c r="AJ4" s="141"/>
      <c r="AK4" s="141"/>
      <c r="AL4" s="141"/>
      <c r="AM4" s="142"/>
      <c r="AN4" s="140"/>
    </row>
    <row r="5" spans="1:40" x14ac:dyDescent="0.25">
      <c r="G5" s="137"/>
      <c r="H5" s="137"/>
      <c r="I5" s="137"/>
      <c r="L5" s="149"/>
      <c r="M5" s="149"/>
      <c r="N5" s="150"/>
      <c r="AA5" s="149"/>
      <c r="AB5" s="149"/>
      <c r="AC5" s="150"/>
      <c r="AE5" s="140"/>
      <c r="AF5" s="140"/>
      <c r="AG5" s="140"/>
      <c r="AH5" s="140"/>
      <c r="AI5" s="141"/>
      <c r="AJ5" s="141"/>
      <c r="AK5" s="141"/>
      <c r="AL5" s="141"/>
      <c r="AM5" s="142"/>
      <c r="AN5" s="140"/>
    </row>
    <row r="6" spans="1:40" x14ac:dyDescent="0.25">
      <c r="A6" s="507" t="s">
        <v>353</v>
      </c>
      <c r="B6" s="508"/>
      <c r="C6" s="508"/>
      <c r="D6" s="508"/>
      <c r="E6" s="508"/>
      <c r="F6" s="508"/>
      <c r="G6" s="508"/>
      <c r="H6" s="508"/>
      <c r="I6" s="509"/>
      <c r="J6" s="510" t="s">
        <v>354</v>
      </c>
      <c r="K6" s="511"/>
      <c r="L6" s="511"/>
      <c r="M6" s="511"/>
      <c r="N6" s="511"/>
      <c r="O6" s="511"/>
      <c r="P6" s="511"/>
      <c r="Q6" s="511"/>
      <c r="R6" s="511"/>
      <c r="S6" s="511"/>
      <c r="T6" s="511"/>
      <c r="U6" s="511"/>
      <c r="V6" s="511"/>
      <c r="W6" s="511"/>
      <c r="X6" s="511"/>
      <c r="Y6" s="512"/>
      <c r="Z6" s="513" t="s">
        <v>355</v>
      </c>
      <c r="AA6" s="513"/>
      <c r="AB6" s="513"/>
      <c r="AC6" s="513"/>
      <c r="AD6" s="513"/>
      <c r="AE6" s="513"/>
      <c r="AF6" s="513"/>
      <c r="AG6" s="513"/>
      <c r="AH6" s="513"/>
      <c r="AI6" s="513"/>
      <c r="AJ6" s="151"/>
      <c r="AK6" s="151"/>
      <c r="AL6" s="152"/>
      <c r="AM6" s="153"/>
      <c r="AN6" s="154"/>
    </row>
    <row r="7" spans="1:40" s="164" customFormat="1" ht="90" x14ac:dyDescent="0.25">
      <c r="A7" s="155" t="s">
        <v>356</v>
      </c>
      <c r="B7" s="155" t="s">
        <v>357</v>
      </c>
      <c r="C7" s="155" t="s">
        <v>358</v>
      </c>
      <c r="D7" s="155" t="s">
        <v>359</v>
      </c>
      <c r="E7" s="155" t="s">
        <v>360</v>
      </c>
      <c r="F7" s="155" t="s">
        <v>361</v>
      </c>
      <c r="G7" s="156" t="s">
        <v>362</v>
      </c>
      <c r="H7" s="156" t="s">
        <v>363</v>
      </c>
      <c r="I7" s="156" t="s">
        <v>364</v>
      </c>
      <c r="J7" s="157" t="s">
        <v>365</v>
      </c>
      <c r="K7" s="157" t="s">
        <v>366</v>
      </c>
      <c r="L7" s="157" t="s">
        <v>367</v>
      </c>
      <c r="M7" s="157" t="s">
        <v>368</v>
      </c>
      <c r="N7" s="157" t="s">
        <v>369</v>
      </c>
      <c r="O7" s="157" t="s">
        <v>370</v>
      </c>
      <c r="P7" s="158" t="s">
        <v>371</v>
      </c>
      <c r="Q7" s="158" t="s">
        <v>372</v>
      </c>
      <c r="R7" s="158" t="s">
        <v>373</v>
      </c>
      <c r="S7" s="158" t="s">
        <v>374</v>
      </c>
      <c r="T7" s="158" t="s">
        <v>375</v>
      </c>
      <c r="U7" s="158" t="s">
        <v>430</v>
      </c>
      <c r="V7" s="158" t="s">
        <v>431</v>
      </c>
      <c r="W7" s="158" t="s">
        <v>442</v>
      </c>
      <c r="X7" s="158" t="s">
        <v>443</v>
      </c>
      <c r="Y7" s="157" t="s">
        <v>376</v>
      </c>
      <c r="Z7" s="159" t="s">
        <v>377</v>
      </c>
      <c r="AA7" s="159" t="s">
        <v>378</v>
      </c>
      <c r="AB7" s="159" t="s">
        <v>379</v>
      </c>
      <c r="AC7" s="159" t="s">
        <v>380</v>
      </c>
      <c r="AD7" s="159" t="s">
        <v>381</v>
      </c>
      <c r="AE7" s="160" t="s">
        <v>382</v>
      </c>
      <c r="AF7" s="160" t="s">
        <v>383</v>
      </c>
      <c r="AG7" s="160" t="s">
        <v>435</v>
      </c>
      <c r="AH7" s="160" t="s">
        <v>436</v>
      </c>
      <c r="AI7" s="160" t="s">
        <v>384</v>
      </c>
      <c r="AJ7" s="160" t="s">
        <v>437</v>
      </c>
      <c r="AK7" s="160" t="s">
        <v>438</v>
      </c>
      <c r="AL7" s="161" t="s">
        <v>385</v>
      </c>
      <c r="AM7" s="162" t="s">
        <v>386</v>
      </c>
      <c r="AN7" s="163"/>
    </row>
    <row r="8" spans="1:40" x14ac:dyDescent="0.25">
      <c r="A8" t="s">
        <v>387</v>
      </c>
      <c r="B8" t="s">
        <v>388</v>
      </c>
      <c r="C8" t="s">
        <v>388</v>
      </c>
      <c r="E8" s="165">
        <v>42132</v>
      </c>
      <c r="F8">
        <v>5</v>
      </c>
      <c r="G8" s="137">
        <v>10450</v>
      </c>
      <c r="H8" s="137">
        <f>F8*261</f>
        <v>1305</v>
      </c>
      <c r="I8" s="166">
        <f t="shared" ref="I8:I12" si="0">G8+H8</f>
        <v>11755</v>
      </c>
      <c r="J8">
        <v>24</v>
      </c>
      <c r="K8">
        <v>4</v>
      </c>
      <c r="L8">
        <v>48</v>
      </c>
      <c r="M8">
        <v>192</v>
      </c>
      <c r="N8" s="167">
        <v>2685.7142857142858</v>
      </c>
      <c r="O8" s="167">
        <v>3244</v>
      </c>
      <c r="P8" s="168">
        <f>L8*$N$3</f>
        <v>267.84000000000003</v>
      </c>
      <c r="Q8" s="168">
        <f>M8*$N$4</f>
        <v>1497.6</v>
      </c>
      <c r="R8" s="169">
        <f t="shared" ref="R8:R19" si="1">K8/$R$1</f>
        <v>7.2727272727272724E-2</v>
      </c>
      <c r="S8" s="168">
        <f>R8*$R$3</f>
        <v>36.36363636363636</v>
      </c>
      <c r="T8" s="168">
        <f>R8*((J8*$AC$3)+(J8*$AC$4*$R$2))</f>
        <v>128.37818181818179</v>
      </c>
      <c r="U8" s="168">
        <f>R8*(J8*$AC$3)</f>
        <v>19.461818181818181</v>
      </c>
      <c r="V8" s="168">
        <f>R8*(J8*$R$2)*$AC$4</f>
        <v>108.91636363636363</v>
      </c>
      <c r="W8" s="168">
        <f>J8*R8</f>
        <v>1.7454545454545454</v>
      </c>
      <c r="X8" s="168">
        <f>R8*(J8*$R$2)</f>
        <v>6.9818181818181815</v>
      </c>
      <c r="Y8" s="170">
        <f>Q8+P8+N8+O8+S8+T8</f>
        <v>7859.8961038961033</v>
      </c>
      <c r="Z8">
        <v>1839</v>
      </c>
      <c r="AA8">
        <v>4</v>
      </c>
      <c r="AB8">
        <f>Z8*AA8</f>
        <v>7356</v>
      </c>
      <c r="AC8" s="168">
        <f>Z8*$AC$3</f>
        <v>20504.850000000002</v>
      </c>
      <c r="AD8" s="168">
        <f>AB8*AC4</f>
        <v>114753.59999999999</v>
      </c>
      <c r="AE8" s="140">
        <f>(AC8+AD8)</f>
        <v>135258.44999999998</v>
      </c>
      <c r="AF8" s="171">
        <v>0.05</v>
      </c>
      <c r="AG8" s="197">
        <f>Z8*AF8</f>
        <v>91.95</v>
      </c>
      <c r="AH8" s="197">
        <f>AB8*AF8</f>
        <v>367.8</v>
      </c>
      <c r="AI8" s="141">
        <f>AE8*AF8</f>
        <v>6762.9224999999997</v>
      </c>
      <c r="AJ8" s="141">
        <f>AC8*AF8</f>
        <v>1025.2425000000001</v>
      </c>
      <c r="AK8" s="141">
        <f>AD8*AF8</f>
        <v>5737.68</v>
      </c>
      <c r="AL8" s="141">
        <f t="shared" ref="AL8:AL36" si="2">Y8+AI8</f>
        <v>14622.818603896103</v>
      </c>
      <c r="AM8" s="172">
        <f t="shared" ref="AM8:AM36" si="3">IF((AL8-I8)&lt;0,0,AL8-I8)</f>
        <v>2867.818603896103</v>
      </c>
      <c r="AN8" s="140"/>
    </row>
    <row r="9" spans="1:40" x14ac:dyDescent="0.25">
      <c r="A9" t="s">
        <v>387</v>
      </c>
      <c r="B9" t="s">
        <v>389</v>
      </c>
      <c r="C9" t="s">
        <v>390</v>
      </c>
      <c r="D9" t="s">
        <v>391</v>
      </c>
      <c r="E9" s="165">
        <v>42146</v>
      </c>
      <c r="F9">
        <v>7</v>
      </c>
      <c r="G9" s="137">
        <v>8500</v>
      </c>
      <c r="H9" s="137">
        <f t="shared" ref="H9:H36" si="4">F9*261</f>
        <v>1827</v>
      </c>
      <c r="I9" s="166">
        <f t="shared" si="0"/>
        <v>10327</v>
      </c>
      <c r="J9">
        <v>40</v>
      </c>
      <c r="K9">
        <v>6</v>
      </c>
      <c r="L9">
        <v>80</v>
      </c>
      <c r="M9">
        <v>240</v>
      </c>
      <c r="N9" s="167">
        <v>12955.312887394957</v>
      </c>
      <c r="O9" s="167">
        <v>3094</v>
      </c>
      <c r="P9" s="168">
        <f t="shared" ref="P9:P16" si="5">L9*$N$3</f>
        <v>446.4</v>
      </c>
      <c r="Q9" s="168">
        <f t="shared" ref="Q9:Q16" si="6">M9*$N$4</f>
        <v>1872</v>
      </c>
      <c r="R9" s="169">
        <f t="shared" si="1"/>
        <v>0.10909090909090909</v>
      </c>
      <c r="S9" s="168">
        <f t="shared" ref="S9:S20" si="7">R9*$R$3</f>
        <v>54.54545454545454</v>
      </c>
      <c r="T9" s="168">
        <f t="shared" ref="T9:T19" si="8">R9*((J9*$AC$3)+(J9*$AC$4*$R$2))</f>
        <v>320.94545454545454</v>
      </c>
      <c r="U9" s="168">
        <f t="shared" ref="U9:U19" si="9">R9*(J9*$AC$3)</f>
        <v>48.654545454545449</v>
      </c>
      <c r="V9" s="168">
        <f t="shared" ref="V9:V19" si="10">R9*(J9*$R$2)*$AC$4</f>
        <v>272.29090909090905</v>
      </c>
      <c r="W9" s="168">
        <f t="shared" ref="W9:W19" si="11">J9*R9</f>
        <v>4.3636363636363633</v>
      </c>
      <c r="X9" s="168">
        <f t="shared" ref="X9:X19" si="12">R9*(J9*$R$2)</f>
        <v>17.454545454545453</v>
      </c>
      <c r="Y9" s="170">
        <f t="shared" ref="Y9:Y19" si="13">Q9+P9+N9+O9+S9+T9</f>
        <v>18743.203796485865</v>
      </c>
      <c r="Z9">
        <v>4811</v>
      </c>
      <c r="AA9">
        <v>6</v>
      </c>
      <c r="AB9">
        <f>Z9*AA9</f>
        <v>28866</v>
      </c>
      <c r="AC9" s="168">
        <f t="shared" ref="AC9:AC16" si="14">Z9*$AC$3</f>
        <v>53642.65</v>
      </c>
      <c r="AD9" s="168">
        <f>AB9*AC4</f>
        <v>450309.6</v>
      </c>
      <c r="AE9" s="140">
        <f t="shared" ref="AE9:AE16" si="15">(AC9+AD9)</f>
        <v>503952.25</v>
      </c>
      <c r="AF9" s="171">
        <v>0.05</v>
      </c>
      <c r="AG9" s="197">
        <f t="shared" ref="AG9:AG19" si="16">Z9*AF9</f>
        <v>240.55</v>
      </c>
      <c r="AH9" s="197">
        <f t="shared" ref="AH9:AH19" si="17">AB9*AF9</f>
        <v>1443.3000000000002</v>
      </c>
      <c r="AI9" s="141">
        <f t="shared" ref="AI9:AI36" si="18">AE9*AF9</f>
        <v>25197.612500000003</v>
      </c>
      <c r="AJ9" s="141">
        <f t="shared" ref="AJ9:AJ19" si="19">AC9*AF9</f>
        <v>2682.1325000000002</v>
      </c>
      <c r="AK9" s="141">
        <f t="shared" ref="AK9:AK19" si="20">AD9*AF9</f>
        <v>22515.48</v>
      </c>
      <c r="AL9" s="141">
        <f t="shared" si="2"/>
        <v>43940.816296485864</v>
      </c>
      <c r="AM9" s="172">
        <f t="shared" si="3"/>
        <v>33613.816296485864</v>
      </c>
      <c r="AN9" s="140"/>
    </row>
    <row r="10" spans="1:40" x14ac:dyDescent="0.25">
      <c r="A10" t="s">
        <v>387</v>
      </c>
      <c r="B10" t="s">
        <v>392</v>
      </c>
      <c r="C10" t="s">
        <v>390</v>
      </c>
      <c r="D10" t="s">
        <v>391</v>
      </c>
      <c r="E10" s="165">
        <v>42146</v>
      </c>
      <c r="F10">
        <v>5</v>
      </c>
      <c r="G10" s="137">
        <v>10000</v>
      </c>
      <c r="H10" s="137">
        <f t="shared" si="4"/>
        <v>1305</v>
      </c>
      <c r="I10" s="166">
        <f t="shared" si="0"/>
        <v>11305</v>
      </c>
      <c r="J10">
        <v>0</v>
      </c>
      <c r="K10">
        <v>0</v>
      </c>
      <c r="L10">
        <v>0</v>
      </c>
      <c r="M10">
        <v>0</v>
      </c>
      <c r="N10" s="167">
        <v>0</v>
      </c>
      <c r="O10" s="167">
        <v>2106</v>
      </c>
      <c r="P10" s="168">
        <f t="shared" si="5"/>
        <v>0</v>
      </c>
      <c r="Q10" s="168">
        <f t="shared" si="6"/>
        <v>0</v>
      </c>
      <c r="R10" s="169">
        <f t="shared" si="1"/>
        <v>0</v>
      </c>
      <c r="S10" s="168">
        <f t="shared" si="7"/>
        <v>0</v>
      </c>
      <c r="T10" s="168">
        <f t="shared" si="8"/>
        <v>0</v>
      </c>
      <c r="U10" s="168">
        <f t="shared" si="9"/>
        <v>0</v>
      </c>
      <c r="V10" s="168">
        <f t="shared" si="10"/>
        <v>0</v>
      </c>
      <c r="W10" s="168">
        <f t="shared" si="11"/>
        <v>0</v>
      </c>
      <c r="X10" s="168">
        <f t="shared" si="12"/>
        <v>0</v>
      </c>
      <c r="Y10" s="170">
        <f t="shared" si="13"/>
        <v>2106</v>
      </c>
      <c r="Z10">
        <v>4851</v>
      </c>
      <c r="AA10">
        <v>4</v>
      </c>
      <c r="AB10">
        <f t="shared" ref="AB10:AB36" si="21">Z10*AA10</f>
        <v>19404</v>
      </c>
      <c r="AC10" s="168">
        <f t="shared" si="14"/>
        <v>54088.65</v>
      </c>
      <c r="AD10" s="168">
        <f>AB10*$AC4</f>
        <v>302702.39999999997</v>
      </c>
      <c r="AE10" s="140">
        <f t="shared" si="15"/>
        <v>356791.05</v>
      </c>
      <c r="AF10" s="171">
        <v>0.05</v>
      </c>
      <c r="AG10" s="197">
        <f t="shared" si="16"/>
        <v>242.55</v>
      </c>
      <c r="AH10" s="197">
        <f t="shared" si="17"/>
        <v>970.2</v>
      </c>
      <c r="AI10" s="141">
        <f t="shared" si="18"/>
        <v>17839.552500000002</v>
      </c>
      <c r="AJ10" s="141">
        <f t="shared" si="19"/>
        <v>2704.4325000000003</v>
      </c>
      <c r="AK10" s="141">
        <f t="shared" si="20"/>
        <v>15135.119999999999</v>
      </c>
      <c r="AL10" s="141">
        <f t="shared" si="2"/>
        <v>19945.552500000002</v>
      </c>
      <c r="AM10" s="172">
        <f t="shared" si="3"/>
        <v>8640.5525000000016</v>
      </c>
      <c r="AN10" s="140"/>
    </row>
    <row r="11" spans="1:40" x14ac:dyDescent="0.25">
      <c r="A11" t="s">
        <v>393</v>
      </c>
      <c r="B11" t="s">
        <v>394</v>
      </c>
      <c r="C11" t="s">
        <v>395</v>
      </c>
      <c r="D11" t="s">
        <v>396</v>
      </c>
      <c r="E11" s="165">
        <v>42186</v>
      </c>
      <c r="F11">
        <v>25</v>
      </c>
      <c r="G11" s="173">
        <v>37500</v>
      </c>
      <c r="H11" s="137">
        <f t="shared" si="4"/>
        <v>6525</v>
      </c>
      <c r="I11" s="166">
        <f t="shared" si="0"/>
        <v>44025</v>
      </c>
      <c r="J11">
        <v>34</v>
      </c>
      <c r="K11">
        <v>21</v>
      </c>
      <c r="L11">
        <v>68</v>
      </c>
      <c r="M11">
        <v>34</v>
      </c>
      <c r="N11" s="174">
        <v>41079.086305882352</v>
      </c>
      <c r="O11" s="174">
        <v>7988</v>
      </c>
      <c r="P11" s="168">
        <f t="shared" si="5"/>
        <v>379.44</v>
      </c>
      <c r="Q11" s="168">
        <f t="shared" si="6"/>
        <v>265.2</v>
      </c>
      <c r="R11" s="169">
        <f t="shared" si="1"/>
        <v>0.38181818181818183</v>
      </c>
      <c r="S11" s="168">
        <f t="shared" si="7"/>
        <v>190.90909090909091</v>
      </c>
      <c r="T11" s="168">
        <f t="shared" si="8"/>
        <v>954.81272727272722</v>
      </c>
      <c r="U11" s="168">
        <f t="shared" si="9"/>
        <v>144.74727272727273</v>
      </c>
      <c r="V11" s="168">
        <f t="shared" si="10"/>
        <v>810.0654545454546</v>
      </c>
      <c r="W11" s="168">
        <f t="shared" si="11"/>
        <v>12.981818181818182</v>
      </c>
      <c r="X11" s="168">
        <f t="shared" si="12"/>
        <v>51.927272727272729</v>
      </c>
      <c r="Y11" s="170">
        <f t="shared" si="13"/>
        <v>50857.448124064169</v>
      </c>
      <c r="Z11">
        <v>940</v>
      </c>
      <c r="AA11">
        <v>4</v>
      </c>
      <c r="AB11">
        <f t="shared" si="21"/>
        <v>3760</v>
      </c>
      <c r="AC11" s="168">
        <f t="shared" si="14"/>
        <v>10481</v>
      </c>
      <c r="AD11" s="168">
        <f>AB11*AC4</f>
        <v>58656</v>
      </c>
      <c r="AE11" s="140">
        <f t="shared" si="15"/>
        <v>69137</v>
      </c>
      <c r="AF11" s="171">
        <v>0.05</v>
      </c>
      <c r="AG11" s="197">
        <f t="shared" si="16"/>
        <v>47</v>
      </c>
      <c r="AH11" s="197">
        <f t="shared" si="17"/>
        <v>188</v>
      </c>
      <c r="AI11" s="141">
        <f t="shared" si="18"/>
        <v>3456.8500000000004</v>
      </c>
      <c r="AJ11" s="141">
        <f t="shared" si="19"/>
        <v>524.05000000000007</v>
      </c>
      <c r="AK11" s="141">
        <f t="shared" si="20"/>
        <v>2932.8</v>
      </c>
      <c r="AL11" s="141">
        <f t="shared" si="2"/>
        <v>54314.298124064167</v>
      </c>
      <c r="AM11" s="172">
        <f t="shared" si="3"/>
        <v>10289.298124064167</v>
      </c>
      <c r="AN11" s="140"/>
    </row>
    <row r="12" spans="1:40" x14ac:dyDescent="0.25">
      <c r="A12" t="s">
        <v>387</v>
      </c>
      <c r="B12" t="s">
        <v>397</v>
      </c>
      <c r="C12" t="s">
        <v>398</v>
      </c>
      <c r="D12" t="s">
        <v>399</v>
      </c>
      <c r="E12" s="175">
        <v>42223</v>
      </c>
      <c r="F12">
        <v>15</v>
      </c>
      <c r="G12" s="173">
        <v>22500</v>
      </c>
      <c r="H12" s="137">
        <f t="shared" si="4"/>
        <v>3915</v>
      </c>
      <c r="I12" s="166">
        <f t="shared" si="0"/>
        <v>26415</v>
      </c>
      <c r="J12">
        <v>89</v>
      </c>
      <c r="K12">
        <v>14</v>
      </c>
      <c r="L12">
        <v>178</v>
      </c>
      <c r="M12">
        <v>356</v>
      </c>
      <c r="N12" s="167">
        <v>59884.352941176476</v>
      </c>
      <c r="O12" s="167">
        <v>5044</v>
      </c>
      <c r="P12" s="168">
        <f t="shared" si="5"/>
        <v>993.24</v>
      </c>
      <c r="Q12" s="168">
        <f t="shared" si="6"/>
        <v>2776.7999999999997</v>
      </c>
      <c r="R12" s="169">
        <f t="shared" si="1"/>
        <v>0.25454545454545452</v>
      </c>
      <c r="S12" s="168">
        <f t="shared" si="7"/>
        <v>127.27272727272727</v>
      </c>
      <c r="T12" s="168">
        <f t="shared" si="8"/>
        <v>1666.241818181818</v>
      </c>
      <c r="U12" s="168">
        <f t="shared" si="9"/>
        <v>252.59818181818179</v>
      </c>
      <c r="V12" s="168">
        <f t="shared" si="10"/>
        <v>1413.6436363636362</v>
      </c>
      <c r="W12" s="168">
        <f t="shared" si="11"/>
        <v>22.654545454545453</v>
      </c>
      <c r="X12" s="168">
        <f t="shared" si="12"/>
        <v>90.61818181818181</v>
      </c>
      <c r="Y12" s="170">
        <f t="shared" si="13"/>
        <v>70491.907486631026</v>
      </c>
      <c r="Z12">
        <v>89</v>
      </c>
      <c r="AA12">
        <v>8</v>
      </c>
      <c r="AB12">
        <f t="shared" si="21"/>
        <v>712</v>
      </c>
      <c r="AC12" s="168">
        <f t="shared" si="14"/>
        <v>992.35</v>
      </c>
      <c r="AD12" s="168">
        <f>AB12*AC4</f>
        <v>11107.199999999999</v>
      </c>
      <c r="AE12" s="140">
        <f t="shared" si="15"/>
        <v>12099.55</v>
      </c>
      <c r="AF12" s="171">
        <v>0.05</v>
      </c>
      <c r="AG12" s="197">
        <f t="shared" si="16"/>
        <v>4.45</v>
      </c>
      <c r="AH12" s="197">
        <f t="shared" si="17"/>
        <v>35.6</v>
      </c>
      <c r="AI12" s="141">
        <f t="shared" si="18"/>
        <v>604.97749999999996</v>
      </c>
      <c r="AJ12" s="141">
        <f t="shared" si="19"/>
        <v>49.617500000000007</v>
      </c>
      <c r="AK12" s="141">
        <f t="shared" si="20"/>
        <v>555.36</v>
      </c>
      <c r="AL12" s="141">
        <f t="shared" si="2"/>
        <v>71096.884986631019</v>
      </c>
      <c r="AM12" s="172">
        <f t="shared" si="3"/>
        <v>44681.884986631019</v>
      </c>
      <c r="AN12" s="140"/>
    </row>
    <row r="13" spans="1:40" x14ac:dyDescent="0.25">
      <c r="A13" t="s">
        <v>387</v>
      </c>
      <c r="B13" t="s">
        <v>400</v>
      </c>
      <c r="C13" t="s">
        <v>401</v>
      </c>
      <c r="D13" t="s">
        <v>402</v>
      </c>
      <c r="E13" s="165">
        <v>42251</v>
      </c>
      <c r="F13">
        <v>4</v>
      </c>
      <c r="G13" s="173">
        <v>9300</v>
      </c>
      <c r="H13" s="137">
        <f t="shared" si="4"/>
        <v>1044</v>
      </c>
      <c r="I13" s="166">
        <f>G13+H13</f>
        <v>10344</v>
      </c>
      <c r="J13">
        <v>118</v>
      </c>
      <c r="K13">
        <v>5</v>
      </c>
      <c r="L13">
        <v>236</v>
      </c>
      <c r="M13">
        <v>708</v>
      </c>
      <c r="N13" s="167">
        <v>10618.991596638656</v>
      </c>
      <c r="O13" s="167">
        <v>3060</v>
      </c>
      <c r="P13" s="168">
        <f t="shared" si="5"/>
        <v>1316.88</v>
      </c>
      <c r="Q13" s="168">
        <f t="shared" si="6"/>
        <v>5522.4</v>
      </c>
      <c r="R13" s="169">
        <f t="shared" si="1"/>
        <v>9.0909090909090912E-2</v>
      </c>
      <c r="S13" s="168">
        <f t="shared" si="7"/>
        <v>45.454545454545453</v>
      </c>
      <c r="T13" s="168">
        <f t="shared" si="8"/>
        <v>788.9909090909091</v>
      </c>
      <c r="U13" s="168">
        <f t="shared" si="9"/>
        <v>119.60909090909092</v>
      </c>
      <c r="V13" s="168">
        <f t="shared" si="10"/>
        <v>669.38181818181829</v>
      </c>
      <c r="W13" s="168">
        <f t="shared" si="11"/>
        <v>10.727272727272728</v>
      </c>
      <c r="X13" s="168">
        <f t="shared" si="12"/>
        <v>42.909090909090914</v>
      </c>
      <c r="Y13" s="170">
        <f t="shared" si="13"/>
        <v>21352.71705118411</v>
      </c>
      <c r="Z13">
        <v>1350</v>
      </c>
      <c r="AA13">
        <v>5</v>
      </c>
      <c r="AB13">
        <f t="shared" si="21"/>
        <v>6750</v>
      </c>
      <c r="AC13" s="168">
        <f t="shared" si="14"/>
        <v>15052.5</v>
      </c>
      <c r="AD13" s="168">
        <f t="shared" ref="AD13:AD15" si="22">AB13*6</f>
        <v>40500</v>
      </c>
      <c r="AE13" s="140">
        <f t="shared" si="15"/>
        <v>55552.5</v>
      </c>
      <c r="AF13" s="171">
        <v>0.05</v>
      </c>
      <c r="AG13" s="197">
        <f t="shared" si="16"/>
        <v>67.5</v>
      </c>
      <c r="AH13" s="197">
        <f t="shared" si="17"/>
        <v>337.5</v>
      </c>
      <c r="AI13" s="141">
        <f t="shared" si="18"/>
        <v>2777.625</v>
      </c>
      <c r="AJ13" s="141">
        <f t="shared" si="19"/>
        <v>752.625</v>
      </c>
      <c r="AK13" s="141">
        <f t="shared" si="20"/>
        <v>2025</v>
      </c>
      <c r="AL13" s="141">
        <f t="shared" si="2"/>
        <v>24130.34205118411</v>
      </c>
      <c r="AM13" s="172">
        <f t="shared" si="3"/>
        <v>13786.34205118411</v>
      </c>
      <c r="AN13" s="140"/>
    </row>
    <row r="14" spans="1:40" x14ac:dyDescent="0.25">
      <c r="A14" t="s">
        <v>387</v>
      </c>
      <c r="B14" t="s">
        <v>403</v>
      </c>
      <c r="C14" t="s">
        <v>404</v>
      </c>
      <c r="D14" t="s">
        <v>405</v>
      </c>
      <c r="E14" s="175">
        <v>42258</v>
      </c>
      <c r="F14">
        <v>4</v>
      </c>
      <c r="G14" s="173">
        <v>12600</v>
      </c>
      <c r="H14" s="137">
        <f t="shared" si="4"/>
        <v>1044</v>
      </c>
      <c r="I14" s="166">
        <f t="shared" ref="I14:I36" si="23">G14+H14</f>
        <v>13644</v>
      </c>
      <c r="J14">
        <v>610</v>
      </c>
      <c r="K14">
        <v>3</v>
      </c>
      <c r="L14">
        <v>1220</v>
      </c>
      <c r="M14">
        <v>4880</v>
      </c>
      <c r="N14" s="167">
        <v>17784</v>
      </c>
      <c r="O14" s="167">
        <v>3244</v>
      </c>
      <c r="P14" s="168">
        <f t="shared" si="5"/>
        <v>6807.6</v>
      </c>
      <c r="Q14" s="168">
        <f t="shared" si="6"/>
        <v>38064</v>
      </c>
      <c r="R14" s="169">
        <f t="shared" si="1"/>
        <v>5.4545454545454543E-2</v>
      </c>
      <c r="S14" s="168">
        <f t="shared" si="7"/>
        <v>27.27272727272727</v>
      </c>
      <c r="T14" s="168">
        <f t="shared" si="8"/>
        <v>2447.2090909090907</v>
      </c>
      <c r="U14" s="168">
        <f t="shared" si="9"/>
        <v>370.9909090909091</v>
      </c>
      <c r="V14" s="168">
        <f t="shared" si="10"/>
        <v>2076.2181818181816</v>
      </c>
      <c r="W14" s="168">
        <f t="shared" si="11"/>
        <v>33.272727272727273</v>
      </c>
      <c r="X14" s="168">
        <f t="shared" si="12"/>
        <v>133.09090909090909</v>
      </c>
      <c r="Y14" s="170">
        <f t="shared" si="13"/>
        <v>68374.081818181818</v>
      </c>
      <c r="Z14">
        <v>610</v>
      </c>
      <c r="AA14">
        <v>8</v>
      </c>
      <c r="AB14">
        <f t="shared" si="21"/>
        <v>4880</v>
      </c>
      <c r="AC14" s="168">
        <f t="shared" si="14"/>
        <v>6801.5</v>
      </c>
      <c r="AD14" s="168">
        <f t="shared" si="22"/>
        <v>29280</v>
      </c>
      <c r="AE14" s="140">
        <f t="shared" si="15"/>
        <v>36081.5</v>
      </c>
      <c r="AF14" s="171">
        <v>0.05</v>
      </c>
      <c r="AG14" s="197">
        <f t="shared" si="16"/>
        <v>30.5</v>
      </c>
      <c r="AH14" s="197">
        <f t="shared" si="17"/>
        <v>244</v>
      </c>
      <c r="AI14" s="141">
        <f t="shared" si="18"/>
        <v>1804.075</v>
      </c>
      <c r="AJ14" s="141">
        <f t="shared" si="19"/>
        <v>340.07500000000005</v>
      </c>
      <c r="AK14" s="141">
        <f t="shared" si="20"/>
        <v>1464</v>
      </c>
      <c r="AL14" s="141">
        <f t="shared" si="2"/>
        <v>70178.156818181815</v>
      </c>
      <c r="AM14" s="172">
        <f t="shared" si="3"/>
        <v>56534.156818181815</v>
      </c>
      <c r="AN14" s="140"/>
    </row>
    <row r="15" spans="1:40" x14ac:dyDescent="0.25">
      <c r="A15" t="s">
        <v>387</v>
      </c>
      <c r="B15" t="s">
        <v>406</v>
      </c>
      <c r="C15" t="s">
        <v>404</v>
      </c>
      <c r="D15" t="s">
        <v>405</v>
      </c>
      <c r="E15" s="175">
        <v>42265</v>
      </c>
      <c r="F15">
        <v>7</v>
      </c>
      <c r="G15" s="173">
        <v>18300</v>
      </c>
      <c r="H15" s="137">
        <f t="shared" si="4"/>
        <v>1827</v>
      </c>
      <c r="I15" s="166">
        <f t="shared" si="23"/>
        <v>20127</v>
      </c>
      <c r="J15">
        <v>620</v>
      </c>
      <c r="K15">
        <v>5</v>
      </c>
      <c r="L15">
        <v>1240</v>
      </c>
      <c r="M15">
        <v>2480</v>
      </c>
      <c r="N15" s="167">
        <v>28572.142857142859</v>
      </c>
      <c r="O15" s="167">
        <v>3444</v>
      </c>
      <c r="P15" s="168">
        <f t="shared" si="5"/>
        <v>6919.2</v>
      </c>
      <c r="Q15" s="168">
        <f t="shared" si="6"/>
        <v>19344</v>
      </c>
      <c r="R15" s="169">
        <f t="shared" si="1"/>
        <v>9.0909090909090912E-2</v>
      </c>
      <c r="S15" s="168">
        <f t="shared" si="7"/>
        <v>45.454545454545453</v>
      </c>
      <c r="T15" s="168">
        <f t="shared" si="8"/>
        <v>4145.545454545455</v>
      </c>
      <c r="U15" s="168">
        <f t="shared" si="9"/>
        <v>628.4545454545455</v>
      </c>
      <c r="V15" s="168">
        <f t="shared" si="10"/>
        <v>3517.090909090909</v>
      </c>
      <c r="W15" s="168">
        <f t="shared" si="11"/>
        <v>56.363636363636367</v>
      </c>
      <c r="X15" s="168">
        <f t="shared" si="12"/>
        <v>225.45454545454547</v>
      </c>
      <c r="Y15" s="170">
        <f t="shared" si="13"/>
        <v>62470.342857142859</v>
      </c>
      <c r="Z15">
        <v>620</v>
      </c>
      <c r="AA15">
        <v>8</v>
      </c>
      <c r="AB15">
        <f t="shared" si="21"/>
        <v>4960</v>
      </c>
      <c r="AC15" s="168">
        <f t="shared" si="14"/>
        <v>6913</v>
      </c>
      <c r="AD15" s="168">
        <f t="shared" si="22"/>
        <v>29760</v>
      </c>
      <c r="AE15" s="140">
        <f t="shared" si="15"/>
        <v>36673</v>
      </c>
      <c r="AF15" s="171">
        <v>0.05</v>
      </c>
      <c r="AG15" s="197">
        <f t="shared" si="16"/>
        <v>31</v>
      </c>
      <c r="AH15" s="197">
        <f t="shared" si="17"/>
        <v>248</v>
      </c>
      <c r="AI15" s="141">
        <f t="shared" si="18"/>
        <v>1833.65</v>
      </c>
      <c r="AJ15" s="141">
        <f t="shared" si="19"/>
        <v>345.65000000000003</v>
      </c>
      <c r="AK15" s="141">
        <f t="shared" si="20"/>
        <v>1488</v>
      </c>
      <c r="AL15" s="141">
        <f t="shared" si="2"/>
        <v>64303.992857142861</v>
      </c>
      <c r="AM15" s="172">
        <f t="shared" si="3"/>
        <v>44176.992857142861</v>
      </c>
      <c r="AN15" s="140"/>
    </row>
    <row r="16" spans="1:40" x14ac:dyDescent="0.25">
      <c r="A16" s="176" t="s">
        <v>387</v>
      </c>
      <c r="B16" s="176" t="s">
        <v>407</v>
      </c>
      <c r="C16" s="176" t="s">
        <v>404</v>
      </c>
      <c r="D16" s="176" t="s">
        <v>408</v>
      </c>
      <c r="E16" s="175">
        <v>42272</v>
      </c>
      <c r="F16" s="176">
        <v>9</v>
      </c>
      <c r="G16" s="173">
        <v>22100</v>
      </c>
      <c r="H16" s="137">
        <f t="shared" si="4"/>
        <v>2349</v>
      </c>
      <c r="I16" s="166">
        <f t="shared" si="23"/>
        <v>24449</v>
      </c>
      <c r="J16">
        <v>635</v>
      </c>
      <c r="K16">
        <v>10</v>
      </c>
      <c r="L16">
        <v>1270</v>
      </c>
      <c r="M16">
        <v>2540</v>
      </c>
      <c r="N16" s="167">
        <v>50180</v>
      </c>
      <c r="O16" s="167">
        <v>3444</v>
      </c>
      <c r="P16" s="168">
        <f t="shared" si="5"/>
        <v>7086.6</v>
      </c>
      <c r="Q16" s="168">
        <f t="shared" si="6"/>
        <v>19812</v>
      </c>
      <c r="R16" s="169">
        <f t="shared" si="1"/>
        <v>0.18181818181818182</v>
      </c>
      <c r="S16" s="168">
        <f t="shared" si="7"/>
        <v>90.909090909090907</v>
      </c>
      <c r="T16" s="168">
        <f t="shared" si="8"/>
        <v>8491.681818181818</v>
      </c>
      <c r="U16" s="168">
        <f t="shared" si="9"/>
        <v>1287.3181818181818</v>
      </c>
      <c r="V16" s="168">
        <f t="shared" si="10"/>
        <v>7204.363636363636</v>
      </c>
      <c r="W16" s="168">
        <f t="shared" si="11"/>
        <v>115.45454545454545</v>
      </c>
      <c r="X16" s="168">
        <f t="shared" si="12"/>
        <v>461.81818181818181</v>
      </c>
      <c r="Y16" s="170">
        <f t="shared" si="13"/>
        <v>89105.190909090918</v>
      </c>
      <c r="Z16">
        <v>635</v>
      </c>
      <c r="AA16">
        <v>8</v>
      </c>
      <c r="AB16">
        <f t="shared" si="21"/>
        <v>5080</v>
      </c>
      <c r="AC16" s="168">
        <f t="shared" si="14"/>
        <v>7080.25</v>
      </c>
      <c r="AD16" s="168">
        <f>AB16*6</f>
        <v>30480</v>
      </c>
      <c r="AE16" s="140">
        <f t="shared" si="15"/>
        <v>37560.25</v>
      </c>
      <c r="AF16" s="171">
        <v>0.05</v>
      </c>
      <c r="AG16" s="197">
        <f t="shared" si="16"/>
        <v>31.75</v>
      </c>
      <c r="AH16" s="197">
        <f t="shared" si="17"/>
        <v>254</v>
      </c>
      <c r="AI16" s="141">
        <f t="shared" si="18"/>
        <v>1878.0125</v>
      </c>
      <c r="AJ16" s="141">
        <f t="shared" si="19"/>
        <v>354.01250000000005</v>
      </c>
      <c r="AK16" s="141">
        <f t="shared" si="20"/>
        <v>1524</v>
      </c>
      <c r="AL16" s="141">
        <f t="shared" si="2"/>
        <v>90983.203409090915</v>
      </c>
      <c r="AM16" s="172">
        <f t="shared" si="3"/>
        <v>66534.203409090915</v>
      </c>
      <c r="AN16" s="140"/>
    </row>
    <row r="17" spans="1:40" x14ac:dyDescent="0.25">
      <c r="A17" s="176" t="s">
        <v>409</v>
      </c>
      <c r="B17" s="176" t="s">
        <v>410</v>
      </c>
      <c r="C17" t="s">
        <v>411</v>
      </c>
      <c r="D17" t="s">
        <v>405</v>
      </c>
      <c r="E17" s="175">
        <v>42297</v>
      </c>
      <c r="F17" s="176">
        <v>4</v>
      </c>
      <c r="G17" s="173">
        <v>7200</v>
      </c>
      <c r="H17" s="137">
        <f>F17*261</f>
        <v>1044</v>
      </c>
      <c r="I17" s="166">
        <f>G17+H17</f>
        <v>8244</v>
      </c>
      <c r="J17">
        <v>91</v>
      </c>
      <c r="K17">
        <v>3</v>
      </c>
      <c r="L17">
        <v>130</v>
      </c>
      <c r="M17">
        <v>130</v>
      </c>
      <c r="N17" s="167">
        <v>22819.615462184876</v>
      </c>
      <c r="O17">
        <v>5270</v>
      </c>
      <c r="P17" s="168">
        <f>L17*$N$3</f>
        <v>725.4</v>
      </c>
      <c r="Q17" s="168">
        <f>M17*$N$4</f>
        <v>1014</v>
      </c>
      <c r="R17" s="169">
        <f t="shared" si="1"/>
        <v>5.4545454545454543E-2</v>
      </c>
      <c r="S17" s="168">
        <f t="shared" si="7"/>
        <v>27.27272727272727</v>
      </c>
      <c r="T17" s="168">
        <f t="shared" si="8"/>
        <v>365.07545454545448</v>
      </c>
      <c r="U17" s="168">
        <f t="shared" si="9"/>
        <v>55.344545454545454</v>
      </c>
      <c r="V17" s="168">
        <f t="shared" si="10"/>
        <v>309.73090909090905</v>
      </c>
      <c r="W17" s="168">
        <f t="shared" si="11"/>
        <v>4.963636363636363</v>
      </c>
      <c r="X17" s="168">
        <f t="shared" si="12"/>
        <v>19.854545454545452</v>
      </c>
      <c r="Y17" s="170">
        <f t="shared" si="13"/>
        <v>30221.36364400306</v>
      </c>
      <c r="Z17">
        <v>91</v>
      </c>
      <c r="AA17">
        <v>4</v>
      </c>
      <c r="AB17">
        <f>Z17*AA17</f>
        <v>364</v>
      </c>
      <c r="AC17" s="168">
        <f>Z17*$AC$3</f>
        <v>1014.65</v>
      </c>
      <c r="AD17" s="168">
        <f>AB17*6</f>
        <v>2184</v>
      </c>
      <c r="AE17" s="140">
        <f>(AC17+AD17)</f>
        <v>3198.65</v>
      </c>
      <c r="AF17" s="171">
        <v>0.05</v>
      </c>
      <c r="AG17" s="197">
        <f t="shared" si="16"/>
        <v>4.55</v>
      </c>
      <c r="AH17" s="197">
        <f t="shared" si="17"/>
        <v>18.2</v>
      </c>
      <c r="AI17" s="141">
        <f>AE17*AF17</f>
        <v>159.9325</v>
      </c>
      <c r="AJ17" s="141">
        <f t="shared" si="19"/>
        <v>50.732500000000002</v>
      </c>
      <c r="AK17" s="141">
        <f t="shared" si="20"/>
        <v>109.2</v>
      </c>
      <c r="AL17" s="141">
        <f>Y17+AI17</f>
        <v>30381.296144003059</v>
      </c>
      <c r="AM17" s="172">
        <f t="shared" si="3"/>
        <v>22137.296144003059</v>
      </c>
      <c r="AN17" s="140"/>
    </row>
    <row r="18" spans="1:40" x14ac:dyDescent="0.25">
      <c r="A18" t="s">
        <v>387</v>
      </c>
      <c r="B18" t="s">
        <v>412</v>
      </c>
      <c r="C18" t="s">
        <v>401</v>
      </c>
      <c r="D18" t="s">
        <v>405</v>
      </c>
      <c r="E18" s="175">
        <v>42338</v>
      </c>
      <c r="F18" s="176">
        <v>15</v>
      </c>
      <c r="G18" s="173">
        <v>22500</v>
      </c>
      <c r="H18" s="137">
        <f t="shared" si="4"/>
        <v>3915</v>
      </c>
      <c r="I18" s="166">
        <f t="shared" si="23"/>
        <v>26415</v>
      </c>
      <c r="J18" s="176">
        <v>22000</v>
      </c>
      <c r="K18">
        <v>8</v>
      </c>
      <c r="L18" s="142">
        <v>22000</v>
      </c>
      <c r="M18" s="142">
        <v>44000</v>
      </c>
      <c r="N18" s="167">
        <v>347925.63025210088</v>
      </c>
      <c r="O18">
        <v>20128</v>
      </c>
      <c r="P18" s="168">
        <f t="shared" ref="P18:P36" si="24">L18*$N$3</f>
        <v>122760</v>
      </c>
      <c r="Q18" s="168">
        <f t="shared" ref="Q18:Q36" si="25">M18*$N$4</f>
        <v>343200</v>
      </c>
      <c r="R18" s="169">
        <f t="shared" si="1"/>
        <v>0.14545454545454545</v>
      </c>
      <c r="S18" s="168">
        <f t="shared" si="7"/>
        <v>72.72727272727272</v>
      </c>
      <c r="T18" s="168">
        <f t="shared" si="8"/>
        <v>235360</v>
      </c>
      <c r="U18" s="168">
        <f t="shared" si="9"/>
        <v>35680</v>
      </c>
      <c r="V18" s="168">
        <f t="shared" si="10"/>
        <v>199680</v>
      </c>
      <c r="W18" s="168">
        <f t="shared" si="11"/>
        <v>3200</v>
      </c>
      <c r="X18" s="168">
        <f t="shared" si="12"/>
        <v>12800</v>
      </c>
      <c r="Y18" s="170">
        <f t="shared" si="13"/>
        <v>1069446.3575248281</v>
      </c>
      <c r="Z18" s="176">
        <v>22000</v>
      </c>
      <c r="AA18">
        <v>4</v>
      </c>
      <c r="AB18">
        <f t="shared" si="21"/>
        <v>88000</v>
      </c>
      <c r="AC18" s="168">
        <f t="shared" ref="AC18:AC36" si="26">Z18*$AC$3</f>
        <v>245300</v>
      </c>
      <c r="AD18" s="168">
        <f t="shared" ref="AD18:AD36" si="27">AB18*6</f>
        <v>528000</v>
      </c>
      <c r="AE18" s="140">
        <f t="shared" ref="AE18:AE36" si="28">(AC18+AD18)</f>
        <v>773300</v>
      </c>
      <c r="AF18" s="171">
        <v>0.05</v>
      </c>
      <c r="AG18" s="197">
        <f t="shared" si="16"/>
        <v>1100</v>
      </c>
      <c r="AH18" s="197">
        <f t="shared" si="17"/>
        <v>4400</v>
      </c>
      <c r="AI18" s="141">
        <f t="shared" si="18"/>
        <v>38665</v>
      </c>
      <c r="AJ18" s="141">
        <f t="shared" si="19"/>
        <v>12265</v>
      </c>
      <c r="AK18" s="141">
        <f t="shared" si="20"/>
        <v>26400</v>
      </c>
      <c r="AL18" s="141">
        <f t="shared" si="2"/>
        <v>1108111.3575248281</v>
      </c>
      <c r="AM18" s="172">
        <f t="shared" si="3"/>
        <v>1081696.3575248281</v>
      </c>
      <c r="AN18" s="140"/>
    </row>
    <row r="19" spans="1:40" x14ac:dyDescent="0.25">
      <c r="A19" s="176" t="s">
        <v>409</v>
      </c>
      <c r="B19" s="176" t="s">
        <v>413</v>
      </c>
      <c r="C19" s="176" t="s">
        <v>411</v>
      </c>
      <c r="D19" s="176" t="s">
        <v>414</v>
      </c>
      <c r="E19" s="175">
        <v>42353</v>
      </c>
      <c r="F19" s="176">
        <v>4</v>
      </c>
      <c r="G19" s="137">
        <v>7500</v>
      </c>
      <c r="H19" s="137">
        <f>F19*261</f>
        <v>1044</v>
      </c>
      <c r="I19" s="166">
        <f>G19+H19</f>
        <v>8544</v>
      </c>
      <c r="J19">
        <v>591</v>
      </c>
      <c r="K19">
        <v>1</v>
      </c>
      <c r="L19">
        <v>1182</v>
      </c>
      <c r="M19">
        <v>591</v>
      </c>
      <c r="N19">
        <v>54689</v>
      </c>
      <c r="O19">
        <v>5782</v>
      </c>
      <c r="P19" s="168">
        <f>L19*$N$3</f>
        <v>6595.56</v>
      </c>
      <c r="Q19" s="168">
        <f>M19*$N$4</f>
        <v>4609.8</v>
      </c>
      <c r="R19" s="169">
        <f t="shared" si="1"/>
        <v>1.8181818181818181E-2</v>
      </c>
      <c r="S19" s="168">
        <f t="shared" si="7"/>
        <v>9.0909090909090899</v>
      </c>
      <c r="T19" s="168">
        <f t="shared" si="8"/>
        <v>790.32818181818186</v>
      </c>
      <c r="U19" s="168">
        <f t="shared" si="9"/>
        <v>119.81181818181818</v>
      </c>
      <c r="V19" s="168">
        <f t="shared" si="10"/>
        <v>670.51636363636351</v>
      </c>
      <c r="W19" s="168">
        <f t="shared" si="11"/>
        <v>10.745454545454544</v>
      </c>
      <c r="X19" s="168">
        <f t="shared" si="12"/>
        <v>42.981818181818177</v>
      </c>
      <c r="Y19" s="170">
        <f t="shared" si="13"/>
        <v>72475.779090909098</v>
      </c>
      <c r="Z19">
        <v>63301</v>
      </c>
      <c r="AA19">
        <v>4</v>
      </c>
      <c r="AB19">
        <f>Z19*AA19</f>
        <v>253204</v>
      </c>
      <c r="AC19" s="168">
        <f>Z19*$AC$3</f>
        <v>705806.15</v>
      </c>
      <c r="AD19" s="168">
        <f>AB19*6</f>
        <v>1519224</v>
      </c>
      <c r="AE19" s="140">
        <f>(AC19+AD19)</f>
        <v>2225030.15</v>
      </c>
      <c r="AF19" s="171">
        <v>0.05</v>
      </c>
      <c r="AG19" s="197">
        <f t="shared" si="16"/>
        <v>3165.05</v>
      </c>
      <c r="AH19" s="197">
        <f t="shared" si="17"/>
        <v>12660.2</v>
      </c>
      <c r="AI19" s="141">
        <f>AE19*AF19</f>
        <v>111251.50750000001</v>
      </c>
      <c r="AJ19" s="141">
        <f t="shared" si="19"/>
        <v>35290.307500000003</v>
      </c>
      <c r="AK19" s="141">
        <f t="shared" si="20"/>
        <v>75961.2</v>
      </c>
      <c r="AL19" s="141">
        <f>Y19+AI19</f>
        <v>183727.28659090912</v>
      </c>
      <c r="AM19" s="172">
        <f t="shared" si="3"/>
        <v>175183.28659090912</v>
      </c>
      <c r="AN19" s="140"/>
    </row>
    <row r="20" spans="1:40" x14ac:dyDescent="0.25">
      <c r="A20" s="176" t="s">
        <v>387</v>
      </c>
      <c r="B20" s="176" t="s">
        <v>415</v>
      </c>
      <c r="C20" s="176" t="s">
        <v>415</v>
      </c>
      <c r="D20" s="176" t="s">
        <v>405</v>
      </c>
      <c r="E20" s="175">
        <v>42426</v>
      </c>
      <c r="F20" s="176">
        <v>15</v>
      </c>
      <c r="G20" s="137">
        <v>25000</v>
      </c>
      <c r="H20" s="137">
        <f>F20*261</f>
        <v>3915</v>
      </c>
      <c r="I20" s="166">
        <f>G20+H20</f>
        <v>28915</v>
      </c>
      <c r="P20" s="168"/>
      <c r="Q20" s="168"/>
      <c r="R20" s="168"/>
      <c r="S20" s="168">
        <f t="shared" si="7"/>
        <v>0</v>
      </c>
      <c r="T20" s="168"/>
      <c r="U20" s="168"/>
      <c r="V20" s="168"/>
      <c r="W20" s="168"/>
      <c r="X20" s="168"/>
      <c r="Y20" s="170"/>
      <c r="AC20" s="168"/>
      <c r="AD20" s="168"/>
      <c r="AE20" s="140"/>
      <c r="AF20" s="140"/>
      <c r="AG20" s="140"/>
      <c r="AH20" s="140"/>
      <c r="AI20" s="141"/>
      <c r="AJ20" s="141"/>
      <c r="AK20" s="141"/>
      <c r="AL20" s="141"/>
      <c r="AM20" s="172">
        <f>-I20</f>
        <v>-28915</v>
      </c>
      <c r="AN20" s="140"/>
    </row>
    <row r="21" spans="1:40" x14ac:dyDescent="0.25">
      <c r="A21" s="177"/>
      <c r="B21" s="177"/>
      <c r="C21" s="177"/>
      <c r="D21" s="177"/>
      <c r="E21" s="178"/>
      <c r="F21" s="145"/>
      <c r="G21" s="137"/>
      <c r="H21" s="137"/>
      <c r="I21" s="166"/>
      <c r="P21" s="168"/>
      <c r="Q21" s="168"/>
      <c r="R21" s="168"/>
      <c r="S21" s="168"/>
      <c r="T21" s="168"/>
      <c r="U21" s="168"/>
      <c r="V21" s="168"/>
      <c r="W21" s="168"/>
      <c r="X21" s="168"/>
      <c r="Y21" s="170"/>
      <c r="AC21" s="168"/>
      <c r="AD21" s="168"/>
      <c r="AE21" s="140"/>
      <c r="AF21" s="140"/>
      <c r="AG21" s="140"/>
      <c r="AH21" s="140"/>
      <c r="AI21" s="141"/>
      <c r="AJ21" s="141"/>
      <c r="AK21" s="141"/>
      <c r="AL21" s="141"/>
      <c r="AM21" s="172"/>
      <c r="AN21" s="140"/>
    </row>
    <row r="22" spans="1:40" x14ac:dyDescent="0.25">
      <c r="A22" s="177"/>
      <c r="B22" s="177"/>
      <c r="C22" s="177"/>
      <c r="D22" s="177"/>
      <c r="E22" s="178"/>
      <c r="F22" s="145"/>
      <c r="G22" s="179"/>
      <c r="H22" s="137">
        <f t="shared" si="4"/>
        <v>0</v>
      </c>
      <c r="I22" s="166">
        <f t="shared" si="23"/>
        <v>0</v>
      </c>
      <c r="P22" s="168">
        <f t="shared" si="24"/>
        <v>0</v>
      </c>
      <c r="Q22" s="168">
        <f t="shared" si="25"/>
        <v>0</v>
      </c>
      <c r="R22" s="168"/>
      <c r="S22" s="168"/>
      <c r="T22" s="168"/>
      <c r="U22" s="168"/>
      <c r="V22" s="168"/>
      <c r="W22" s="168"/>
      <c r="X22" s="168"/>
      <c r="Y22" s="170">
        <f t="shared" ref="Y22:Y27" si="29">Q22+P22+N22+O22</f>
        <v>0</v>
      </c>
      <c r="AB22">
        <f t="shared" si="21"/>
        <v>0</v>
      </c>
      <c r="AC22" s="168">
        <f t="shared" si="26"/>
        <v>0</v>
      </c>
      <c r="AD22" s="168">
        <f t="shared" si="27"/>
        <v>0</v>
      </c>
      <c r="AE22" s="140">
        <f t="shared" si="28"/>
        <v>0</v>
      </c>
      <c r="AF22" s="171"/>
      <c r="AG22" s="171"/>
      <c r="AH22" s="171"/>
      <c r="AI22" s="141">
        <f t="shared" si="18"/>
        <v>0</v>
      </c>
      <c r="AJ22" s="141"/>
      <c r="AK22" s="141"/>
      <c r="AL22" s="141">
        <f t="shared" si="2"/>
        <v>0</v>
      </c>
      <c r="AM22" s="172">
        <f t="shared" si="3"/>
        <v>0</v>
      </c>
      <c r="AN22" s="140"/>
    </row>
    <row r="23" spans="1:40" x14ac:dyDescent="0.25">
      <c r="A23" s="177"/>
      <c r="B23" s="177"/>
      <c r="C23" s="177"/>
      <c r="D23" s="177"/>
      <c r="E23" s="178"/>
      <c r="F23" s="145"/>
      <c r="G23" s="137"/>
      <c r="H23" s="137">
        <f>F23*261</f>
        <v>0</v>
      </c>
      <c r="I23" s="166">
        <f>G23+H23</f>
        <v>0</v>
      </c>
      <c r="P23" s="168">
        <f>L23*$N$3</f>
        <v>0</v>
      </c>
      <c r="Q23" s="168">
        <f>M23*$N$4</f>
        <v>0</v>
      </c>
      <c r="R23" s="168"/>
      <c r="S23" s="168"/>
      <c r="T23" s="168"/>
      <c r="U23" s="168"/>
      <c r="V23" s="168"/>
      <c r="W23" s="168"/>
      <c r="X23" s="168"/>
      <c r="Y23" s="170">
        <f t="shared" si="29"/>
        <v>0</v>
      </c>
      <c r="AB23">
        <f>Z23*AA23</f>
        <v>0</v>
      </c>
      <c r="AC23" s="168">
        <f>Z23*$AC$3</f>
        <v>0</v>
      </c>
      <c r="AD23" s="168">
        <f>AB23*6</f>
        <v>0</v>
      </c>
      <c r="AE23" s="140">
        <f>(AC23+AD23)</f>
        <v>0</v>
      </c>
      <c r="AF23" s="140"/>
      <c r="AG23" s="140"/>
      <c r="AH23" s="140"/>
      <c r="AI23" s="141">
        <f>AE23*AF23</f>
        <v>0</v>
      </c>
      <c r="AJ23" s="141"/>
      <c r="AK23" s="141"/>
      <c r="AL23" s="141">
        <f>Y23+AI23</f>
        <v>0</v>
      </c>
      <c r="AM23" s="172">
        <f t="shared" si="3"/>
        <v>0</v>
      </c>
      <c r="AN23" s="140"/>
    </row>
    <row r="24" spans="1:40" x14ac:dyDescent="0.25">
      <c r="A24" s="177"/>
      <c r="B24" s="177"/>
      <c r="C24" s="177"/>
      <c r="D24" s="177"/>
      <c r="E24" s="178"/>
      <c r="F24" s="145"/>
      <c r="G24" s="137"/>
      <c r="H24" s="137">
        <f t="shared" si="4"/>
        <v>0</v>
      </c>
      <c r="I24" s="166">
        <f t="shared" si="23"/>
        <v>0</v>
      </c>
      <c r="P24" s="168">
        <f t="shared" si="24"/>
        <v>0</v>
      </c>
      <c r="Q24" s="168">
        <f t="shared" si="25"/>
        <v>0</v>
      </c>
      <c r="R24" s="168"/>
      <c r="S24" s="168"/>
      <c r="T24" s="168"/>
      <c r="U24" s="168"/>
      <c r="V24" s="168"/>
      <c r="W24" s="168"/>
      <c r="X24" s="168"/>
      <c r="Y24" s="170">
        <f t="shared" si="29"/>
        <v>0</v>
      </c>
      <c r="AB24">
        <f t="shared" si="21"/>
        <v>0</v>
      </c>
      <c r="AC24" s="168">
        <f t="shared" si="26"/>
        <v>0</v>
      </c>
      <c r="AD24" s="168">
        <f t="shared" si="27"/>
        <v>0</v>
      </c>
      <c r="AE24" s="140">
        <f t="shared" si="28"/>
        <v>0</v>
      </c>
      <c r="AF24" s="140"/>
      <c r="AG24" s="140"/>
      <c r="AH24" s="140"/>
      <c r="AI24" s="141">
        <f t="shared" si="18"/>
        <v>0</v>
      </c>
      <c r="AJ24" s="141"/>
      <c r="AK24" s="141"/>
      <c r="AL24" s="141">
        <f t="shared" si="2"/>
        <v>0</v>
      </c>
      <c r="AM24" s="172">
        <f t="shared" si="3"/>
        <v>0</v>
      </c>
      <c r="AN24" s="140"/>
    </row>
    <row r="25" spans="1:40" x14ac:dyDescent="0.25">
      <c r="E25" s="178"/>
      <c r="F25" s="145"/>
      <c r="G25" s="137"/>
      <c r="H25" s="137">
        <f t="shared" si="4"/>
        <v>0</v>
      </c>
      <c r="I25" s="166">
        <f t="shared" si="23"/>
        <v>0</v>
      </c>
      <c r="P25" s="168">
        <f t="shared" si="24"/>
        <v>0</v>
      </c>
      <c r="Q25" s="168">
        <f t="shared" si="25"/>
        <v>0</v>
      </c>
      <c r="R25" s="168"/>
      <c r="S25" s="168"/>
      <c r="T25" s="168"/>
      <c r="U25" s="168"/>
      <c r="V25" s="168"/>
      <c r="W25" s="168"/>
      <c r="X25" s="168"/>
      <c r="Y25" s="170">
        <f t="shared" si="29"/>
        <v>0</v>
      </c>
      <c r="AB25">
        <f t="shared" si="21"/>
        <v>0</v>
      </c>
      <c r="AC25" s="168">
        <f t="shared" si="26"/>
        <v>0</v>
      </c>
      <c r="AD25" s="168">
        <f t="shared" si="27"/>
        <v>0</v>
      </c>
      <c r="AE25" s="140">
        <f t="shared" si="28"/>
        <v>0</v>
      </c>
      <c r="AF25" s="140"/>
      <c r="AG25" s="140"/>
      <c r="AH25" s="140"/>
      <c r="AI25" s="141">
        <f t="shared" si="18"/>
        <v>0</v>
      </c>
      <c r="AJ25" s="141"/>
      <c r="AK25" s="141"/>
      <c r="AL25" s="141">
        <f t="shared" si="2"/>
        <v>0</v>
      </c>
      <c r="AM25" s="172">
        <f t="shared" si="3"/>
        <v>0</v>
      </c>
      <c r="AN25" s="140"/>
    </row>
    <row r="26" spans="1:40" x14ac:dyDescent="0.25">
      <c r="A26" s="177"/>
      <c r="B26" s="177"/>
      <c r="C26" s="177"/>
      <c r="D26" s="177"/>
      <c r="E26" s="178"/>
      <c r="F26" s="145"/>
      <c r="G26" s="137"/>
      <c r="H26" s="137">
        <f t="shared" si="4"/>
        <v>0</v>
      </c>
      <c r="I26" s="166">
        <f t="shared" si="23"/>
        <v>0</v>
      </c>
      <c r="P26" s="168">
        <f t="shared" si="24"/>
        <v>0</v>
      </c>
      <c r="Q26" s="168">
        <f t="shared" si="25"/>
        <v>0</v>
      </c>
      <c r="R26" s="168"/>
      <c r="S26" s="168"/>
      <c r="T26" s="168"/>
      <c r="U26" s="168"/>
      <c r="V26" s="168"/>
      <c r="W26" s="168"/>
      <c r="X26" s="168"/>
      <c r="Y26" s="170">
        <f t="shared" si="29"/>
        <v>0</v>
      </c>
      <c r="AB26">
        <f t="shared" si="21"/>
        <v>0</v>
      </c>
      <c r="AC26" s="168">
        <f t="shared" si="26"/>
        <v>0</v>
      </c>
      <c r="AD26" s="168">
        <f t="shared" si="27"/>
        <v>0</v>
      </c>
      <c r="AE26" s="140">
        <f t="shared" si="28"/>
        <v>0</v>
      </c>
      <c r="AF26" s="140"/>
      <c r="AG26" s="140"/>
      <c r="AH26" s="140"/>
      <c r="AI26" s="141">
        <f t="shared" si="18"/>
        <v>0</v>
      </c>
      <c r="AJ26" s="141"/>
      <c r="AK26" s="141"/>
      <c r="AL26" s="141">
        <f t="shared" si="2"/>
        <v>0</v>
      </c>
      <c r="AM26" s="172">
        <f t="shared" si="3"/>
        <v>0</v>
      </c>
      <c r="AN26" s="140"/>
    </row>
    <row r="27" spans="1:40" x14ac:dyDescent="0.25">
      <c r="A27" s="177"/>
      <c r="B27" s="177"/>
      <c r="C27" s="177"/>
      <c r="D27" s="177"/>
      <c r="E27" s="178"/>
      <c r="F27" s="145"/>
      <c r="G27" s="137"/>
      <c r="H27" s="137">
        <f t="shared" si="4"/>
        <v>0</v>
      </c>
      <c r="I27" s="166">
        <f t="shared" si="23"/>
        <v>0</v>
      </c>
      <c r="P27" s="168">
        <f t="shared" si="24"/>
        <v>0</v>
      </c>
      <c r="Q27" s="168">
        <f t="shared" si="25"/>
        <v>0</v>
      </c>
      <c r="R27" s="168"/>
      <c r="S27" s="168"/>
      <c r="T27" s="168"/>
      <c r="U27" s="168"/>
      <c r="V27" s="168"/>
      <c r="W27" s="168"/>
      <c r="X27" s="168"/>
      <c r="Y27" s="170">
        <f t="shared" si="29"/>
        <v>0</v>
      </c>
      <c r="AB27">
        <f t="shared" si="21"/>
        <v>0</v>
      </c>
      <c r="AC27" s="168">
        <f t="shared" si="26"/>
        <v>0</v>
      </c>
      <c r="AD27" s="168">
        <f t="shared" si="27"/>
        <v>0</v>
      </c>
      <c r="AE27" s="140">
        <f t="shared" si="28"/>
        <v>0</v>
      </c>
      <c r="AF27" s="140"/>
      <c r="AG27" s="140"/>
      <c r="AH27" s="140"/>
      <c r="AI27" s="141">
        <f t="shared" si="18"/>
        <v>0</v>
      </c>
      <c r="AJ27" s="141"/>
      <c r="AK27" s="141"/>
      <c r="AL27" s="141">
        <f t="shared" si="2"/>
        <v>0</v>
      </c>
      <c r="AM27" s="172">
        <f t="shared" si="3"/>
        <v>0</v>
      </c>
      <c r="AN27" s="140"/>
    </row>
    <row r="28" spans="1:40" x14ac:dyDescent="0.25">
      <c r="A28" s="177"/>
      <c r="B28" s="177"/>
      <c r="F28" s="145"/>
      <c r="G28" s="137"/>
      <c r="H28" s="137">
        <f t="shared" si="4"/>
        <v>0</v>
      </c>
      <c r="I28" s="166">
        <f t="shared" si="23"/>
        <v>0</v>
      </c>
      <c r="P28" s="168">
        <f t="shared" si="24"/>
        <v>0</v>
      </c>
      <c r="Q28" s="168">
        <f t="shared" si="25"/>
        <v>0</v>
      </c>
      <c r="R28" s="168"/>
      <c r="S28" s="168"/>
      <c r="T28" s="168"/>
      <c r="U28" s="168"/>
      <c r="V28" s="168"/>
      <c r="W28" s="168"/>
      <c r="X28" s="168"/>
      <c r="Y28" s="170">
        <f t="shared" ref="Y28:Y36" si="30">Q28+P28+N28</f>
        <v>0</v>
      </c>
      <c r="AB28">
        <f t="shared" si="21"/>
        <v>0</v>
      </c>
      <c r="AC28" s="168">
        <f t="shared" si="26"/>
        <v>0</v>
      </c>
      <c r="AD28" s="168">
        <f t="shared" si="27"/>
        <v>0</v>
      </c>
      <c r="AE28" s="140">
        <f t="shared" si="28"/>
        <v>0</v>
      </c>
      <c r="AF28" s="140"/>
      <c r="AG28" s="140"/>
      <c r="AH28" s="140"/>
      <c r="AI28" s="141">
        <f t="shared" si="18"/>
        <v>0</v>
      </c>
      <c r="AJ28" s="141"/>
      <c r="AK28" s="141"/>
      <c r="AL28" s="141">
        <f t="shared" si="2"/>
        <v>0</v>
      </c>
      <c r="AM28" s="172">
        <f t="shared" si="3"/>
        <v>0</v>
      </c>
      <c r="AN28" s="140"/>
    </row>
    <row r="29" spans="1:40" x14ac:dyDescent="0.25">
      <c r="G29" s="137"/>
      <c r="H29" s="137">
        <f t="shared" si="4"/>
        <v>0</v>
      </c>
      <c r="I29" s="166">
        <f t="shared" si="23"/>
        <v>0</v>
      </c>
      <c r="P29" s="168">
        <f t="shared" si="24"/>
        <v>0</v>
      </c>
      <c r="Q29" s="168">
        <f t="shared" si="25"/>
        <v>0</v>
      </c>
      <c r="R29" s="168"/>
      <c r="S29" s="168"/>
      <c r="T29" s="168"/>
      <c r="U29" s="168"/>
      <c r="V29" s="168"/>
      <c r="W29" s="168"/>
      <c r="X29" s="168"/>
      <c r="Y29" s="170">
        <f t="shared" si="30"/>
        <v>0</v>
      </c>
      <c r="AB29">
        <f t="shared" si="21"/>
        <v>0</v>
      </c>
      <c r="AC29" s="168">
        <f t="shared" si="26"/>
        <v>0</v>
      </c>
      <c r="AD29" s="168">
        <f t="shared" si="27"/>
        <v>0</v>
      </c>
      <c r="AE29" s="140">
        <f t="shared" si="28"/>
        <v>0</v>
      </c>
      <c r="AF29" s="140"/>
      <c r="AG29" s="140"/>
      <c r="AH29" s="140"/>
      <c r="AI29" s="141">
        <f t="shared" si="18"/>
        <v>0</v>
      </c>
      <c r="AJ29" s="141"/>
      <c r="AK29" s="141"/>
      <c r="AL29" s="141">
        <f t="shared" si="2"/>
        <v>0</v>
      </c>
      <c r="AM29" s="172">
        <f t="shared" si="3"/>
        <v>0</v>
      </c>
      <c r="AN29" s="140"/>
    </row>
    <row r="30" spans="1:40" x14ac:dyDescent="0.25">
      <c r="G30" s="137"/>
      <c r="H30" s="137">
        <f t="shared" si="4"/>
        <v>0</v>
      </c>
      <c r="I30" s="166">
        <f t="shared" si="23"/>
        <v>0</v>
      </c>
      <c r="P30" s="168">
        <f t="shared" si="24"/>
        <v>0</v>
      </c>
      <c r="Q30" s="168">
        <f t="shared" si="25"/>
        <v>0</v>
      </c>
      <c r="R30" s="168"/>
      <c r="S30" s="168"/>
      <c r="T30" s="168"/>
      <c r="U30" s="168"/>
      <c r="V30" s="168"/>
      <c r="W30" s="168"/>
      <c r="X30" s="168"/>
      <c r="Y30" s="170">
        <f t="shared" si="30"/>
        <v>0</v>
      </c>
      <c r="AB30">
        <f t="shared" si="21"/>
        <v>0</v>
      </c>
      <c r="AC30" s="168">
        <f t="shared" si="26"/>
        <v>0</v>
      </c>
      <c r="AD30" s="168">
        <f t="shared" si="27"/>
        <v>0</v>
      </c>
      <c r="AE30" s="140">
        <f t="shared" si="28"/>
        <v>0</v>
      </c>
      <c r="AF30" s="140"/>
      <c r="AG30" s="140"/>
      <c r="AH30" s="140"/>
      <c r="AI30" s="141">
        <f t="shared" si="18"/>
        <v>0</v>
      </c>
      <c r="AJ30" s="141"/>
      <c r="AK30" s="141"/>
      <c r="AL30" s="141">
        <f t="shared" si="2"/>
        <v>0</v>
      </c>
      <c r="AM30" s="172">
        <f t="shared" si="3"/>
        <v>0</v>
      </c>
      <c r="AN30" s="140"/>
    </row>
    <row r="31" spans="1:40" x14ac:dyDescent="0.25">
      <c r="G31" s="137"/>
      <c r="H31" s="137">
        <f t="shared" si="4"/>
        <v>0</v>
      </c>
      <c r="I31" s="166">
        <f t="shared" si="23"/>
        <v>0</v>
      </c>
      <c r="P31" s="168">
        <f t="shared" si="24"/>
        <v>0</v>
      </c>
      <c r="Q31" s="168">
        <f t="shared" si="25"/>
        <v>0</v>
      </c>
      <c r="R31" s="168"/>
      <c r="S31" s="168"/>
      <c r="T31" s="168"/>
      <c r="U31" s="168"/>
      <c r="V31" s="168"/>
      <c r="W31" s="168"/>
      <c r="X31" s="168"/>
      <c r="Y31" s="170">
        <f t="shared" si="30"/>
        <v>0</v>
      </c>
      <c r="AB31">
        <f t="shared" si="21"/>
        <v>0</v>
      </c>
      <c r="AC31" s="168">
        <f t="shared" si="26"/>
        <v>0</v>
      </c>
      <c r="AD31" s="168">
        <f t="shared" si="27"/>
        <v>0</v>
      </c>
      <c r="AE31" s="140">
        <f t="shared" si="28"/>
        <v>0</v>
      </c>
      <c r="AF31" s="140"/>
      <c r="AG31" s="140"/>
      <c r="AH31" s="140"/>
      <c r="AI31" s="141">
        <f t="shared" si="18"/>
        <v>0</v>
      </c>
      <c r="AJ31" s="141"/>
      <c r="AK31" s="141"/>
      <c r="AL31" s="141">
        <f t="shared" si="2"/>
        <v>0</v>
      </c>
      <c r="AM31" s="172">
        <f t="shared" si="3"/>
        <v>0</v>
      </c>
      <c r="AN31" s="140"/>
    </row>
    <row r="32" spans="1:40" x14ac:dyDescent="0.25">
      <c r="G32" s="137"/>
      <c r="H32" s="137">
        <f t="shared" si="4"/>
        <v>0</v>
      </c>
      <c r="I32" s="166">
        <f t="shared" si="23"/>
        <v>0</v>
      </c>
      <c r="P32" s="168">
        <f t="shared" si="24"/>
        <v>0</v>
      </c>
      <c r="Q32" s="168">
        <f t="shared" si="25"/>
        <v>0</v>
      </c>
      <c r="R32" s="168"/>
      <c r="S32" s="168"/>
      <c r="T32" s="168"/>
      <c r="U32" s="168"/>
      <c r="V32" s="168"/>
      <c r="W32" s="168"/>
      <c r="X32" s="168"/>
      <c r="Y32" s="170">
        <f t="shared" si="30"/>
        <v>0</v>
      </c>
      <c r="AB32">
        <f t="shared" si="21"/>
        <v>0</v>
      </c>
      <c r="AC32" s="168">
        <f t="shared" si="26"/>
        <v>0</v>
      </c>
      <c r="AD32" s="168">
        <f t="shared" si="27"/>
        <v>0</v>
      </c>
      <c r="AE32" s="140">
        <f t="shared" si="28"/>
        <v>0</v>
      </c>
      <c r="AF32" s="140"/>
      <c r="AG32" s="140"/>
      <c r="AH32" s="140"/>
      <c r="AI32" s="141">
        <f t="shared" si="18"/>
        <v>0</v>
      </c>
      <c r="AJ32" s="141"/>
      <c r="AK32" s="141"/>
      <c r="AL32" s="141">
        <f t="shared" si="2"/>
        <v>0</v>
      </c>
      <c r="AM32" s="172">
        <f t="shared" si="3"/>
        <v>0</v>
      </c>
      <c r="AN32" s="140"/>
    </row>
    <row r="33" spans="2:40" x14ac:dyDescent="0.25">
      <c r="G33" s="137"/>
      <c r="H33" s="137">
        <f t="shared" si="4"/>
        <v>0</v>
      </c>
      <c r="I33" s="166">
        <f t="shared" si="23"/>
        <v>0</v>
      </c>
      <c r="P33" s="168">
        <f t="shared" si="24"/>
        <v>0</v>
      </c>
      <c r="Q33" s="168">
        <f t="shared" si="25"/>
        <v>0</v>
      </c>
      <c r="R33" s="168"/>
      <c r="S33" s="168"/>
      <c r="T33" s="168"/>
      <c r="U33" s="168"/>
      <c r="V33" s="168"/>
      <c r="W33" s="168"/>
      <c r="X33" s="168"/>
      <c r="Y33" s="170">
        <f t="shared" si="30"/>
        <v>0</v>
      </c>
      <c r="AB33">
        <f t="shared" si="21"/>
        <v>0</v>
      </c>
      <c r="AC33" s="168">
        <f t="shared" si="26"/>
        <v>0</v>
      </c>
      <c r="AD33" s="168">
        <f t="shared" si="27"/>
        <v>0</v>
      </c>
      <c r="AE33" s="140">
        <f t="shared" si="28"/>
        <v>0</v>
      </c>
      <c r="AF33" s="140"/>
      <c r="AG33" s="140"/>
      <c r="AH33" s="140"/>
      <c r="AI33" s="141">
        <f t="shared" si="18"/>
        <v>0</v>
      </c>
      <c r="AJ33" s="141"/>
      <c r="AK33" s="141"/>
      <c r="AL33" s="141">
        <f t="shared" si="2"/>
        <v>0</v>
      </c>
      <c r="AM33" s="172">
        <f t="shared" si="3"/>
        <v>0</v>
      </c>
      <c r="AN33" s="140"/>
    </row>
    <row r="34" spans="2:40" x14ac:dyDescent="0.25">
      <c r="G34" s="137"/>
      <c r="H34" s="137">
        <f t="shared" si="4"/>
        <v>0</v>
      </c>
      <c r="I34" s="166">
        <f t="shared" si="23"/>
        <v>0</v>
      </c>
      <c r="P34" s="168">
        <f t="shared" si="24"/>
        <v>0</v>
      </c>
      <c r="Q34" s="168">
        <f t="shared" si="25"/>
        <v>0</v>
      </c>
      <c r="R34" s="168"/>
      <c r="S34" s="168"/>
      <c r="T34" s="168"/>
      <c r="U34" s="168"/>
      <c r="V34" s="168"/>
      <c r="W34" s="168"/>
      <c r="X34" s="168"/>
      <c r="Y34" s="170">
        <f t="shared" si="30"/>
        <v>0</v>
      </c>
      <c r="AB34">
        <f t="shared" si="21"/>
        <v>0</v>
      </c>
      <c r="AC34" s="168">
        <f t="shared" si="26"/>
        <v>0</v>
      </c>
      <c r="AD34" s="168">
        <f t="shared" si="27"/>
        <v>0</v>
      </c>
      <c r="AE34" s="140">
        <f t="shared" si="28"/>
        <v>0</v>
      </c>
      <c r="AF34" s="140"/>
      <c r="AG34" s="140"/>
      <c r="AH34" s="140"/>
      <c r="AI34" s="141">
        <f t="shared" si="18"/>
        <v>0</v>
      </c>
      <c r="AJ34" s="141"/>
      <c r="AK34" s="141"/>
      <c r="AL34" s="141">
        <f t="shared" si="2"/>
        <v>0</v>
      </c>
      <c r="AM34" s="172">
        <f t="shared" si="3"/>
        <v>0</v>
      </c>
      <c r="AN34" s="140"/>
    </row>
    <row r="35" spans="2:40" x14ac:dyDescent="0.25">
      <c r="G35" s="137"/>
      <c r="H35" s="137">
        <f t="shared" si="4"/>
        <v>0</v>
      </c>
      <c r="I35" s="166">
        <f t="shared" si="23"/>
        <v>0</v>
      </c>
      <c r="P35" s="168">
        <f t="shared" si="24"/>
        <v>0</v>
      </c>
      <c r="Q35" s="168">
        <f t="shared" si="25"/>
        <v>0</v>
      </c>
      <c r="R35" s="168"/>
      <c r="S35" s="168"/>
      <c r="T35" s="168"/>
      <c r="U35" s="168"/>
      <c r="V35" s="168"/>
      <c r="W35" s="168"/>
      <c r="X35" s="168"/>
      <c r="Y35" s="170">
        <f t="shared" si="30"/>
        <v>0</v>
      </c>
      <c r="AB35">
        <f t="shared" si="21"/>
        <v>0</v>
      </c>
      <c r="AC35" s="168">
        <f t="shared" si="26"/>
        <v>0</v>
      </c>
      <c r="AD35" s="168">
        <f t="shared" si="27"/>
        <v>0</v>
      </c>
      <c r="AE35" s="140">
        <f t="shared" si="28"/>
        <v>0</v>
      </c>
      <c r="AF35" s="140"/>
      <c r="AG35" s="140"/>
      <c r="AH35" s="140"/>
      <c r="AI35" s="141">
        <f t="shared" si="18"/>
        <v>0</v>
      </c>
      <c r="AJ35" s="141"/>
      <c r="AK35" s="141"/>
      <c r="AL35" s="141">
        <f t="shared" si="2"/>
        <v>0</v>
      </c>
      <c r="AM35" s="172">
        <f t="shared" si="3"/>
        <v>0</v>
      </c>
      <c r="AN35" s="140"/>
    </row>
    <row r="36" spans="2:40" x14ac:dyDescent="0.25">
      <c r="G36" s="137"/>
      <c r="H36" s="137">
        <f t="shared" si="4"/>
        <v>0</v>
      </c>
      <c r="I36" s="166">
        <f t="shared" si="23"/>
        <v>0</v>
      </c>
      <c r="P36" s="168">
        <f t="shared" si="24"/>
        <v>0</v>
      </c>
      <c r="Q36" s="168">
        <f t="shared" si="25"/>
        <v>0</v>
      </c>
      <c r="R36" s="168"/>
      <c r="S36" s="168"/>
      <c r="T36" s="168"/>
      <c r="U36" s="168"/>
      <c r="V36" s="168"/>
      <c r="W36" s="168"/>
      <c r="X36" s="168"/>
      <c r="Y36" s="170">
        <f t="shared" si="30"/>
        <v>0</v>
      </c>
      <c r="AB36">
        <f t="shared" si="21"/>
        <v>0</v>
      </c>
      <c r="AC36" s="168">
        <f t="shared" si="26"/>
        <v>0</v>
      </c>
      <c r="AD36" s="168">
        <f t="shared" si="27"/>
        <v>0</v>
      </c>
      <c r="AE36" s="140">
        <f t="shared" si="28"/>
        <v>0</v>
      </c>
      <c r="AF36" s="140"/>
      <c r="AG36" s="140"/>
      <c r="AH36" s="140"/>
      <c r="AI36" s="141">
        <f t="shared" si="18"/>
        <v>0</v>
      </c>
      <c r="AJ36" s="141"/>
      <c r="AK36" s="141"/>
      <c r="AL36" s="141">
        <f t="shared" si="2"/>
        <v>0</v>
      </c>
      <c r="AM36" s="172">
        <f t="shared" si="3"/>
        <v>0</v>
      </c>
      <c r="AN36" s="140"/>
    </row>
    <row r="37" spans="2:40" x14ac:dyDescent="0.25">
      <c r="G37" s="137"/>
      <c r="H37" s="137"/>
      <c r="I37" s="210">
        <f>SUM(I8:I36)</f>
        <v>244509</v>
      </c>
      <c r="K37">
        <f>SUM(K8:K36)</f>
        <v>80</v>
      </c>
      <c r="L37">
        <f>SUM(L8:L36)</f>
        <v>27652</v>
      </c>
      <c r="M37">
        <f>SUM(M8:M36)</f>
        <v>56151</v>
      </c>
      <c r="N37" s="168">
        <f t="shared" ref="N37:P37" si="31">SUM(N8:N36)</f>
        <v>649193.84658823535</v>
      </c>
      <c r="O37" s="168">
        <f t="shared" si="31"/>
        <v>65848</v>
      </c>
      <c r="P37" s="168">
        <f t="shared" si="31"/>
        <v>154298.16</v>
      </c>
      <c r="Q37" s="168">
        <f>SUM(Q8:Q36)</f>
        <v>437977.8</v>
      </c>
      <c r="R37" s="168"/>
      <c r="S37" s="168">
        <f>SUM(S8:S36)</f>
        <v>727.27272727272725</v>
      </c>
      <c r="T37" s="168">
        <f>SUM(T8:T36)</f>
        <v>255459.20909090911</v>
      </c>
      <c r="U37" s="168">
        <f>SUM(U8:U36)</f>
        <v>38726.990909090913</v>
      </c>
      <c r="V37" s="168">
        <f t="shared" ref="V37:X37" si="32">SUM(V8:V36)</f>
        <v>216732.21818181817</v>
      </c>
      <c r="W37" s="168">
        <f t="shared" si="32"/>
        <v>3473.272727272727</v>
      </c>
      <c r="X37" s="168">
        <f t="shared" si="32"/>
        <v>13893.090909090908</v>
      </c>
      <c r="Y37" s="194">
        <f>SUM(Y8:Y36)</f>
        <v>1563504.288406417</v>
      </c>
      <c r="AE37" s="140">
        <f>SUM(AE8:AE31)</f>
        <v>4244634.3499999996</v>
      </c>
      <c r="AF37" s="140"/>
      <c r="AG37" s="168">
        <f t="shared" ref="AG37:AH37" si="33">SUM(AG8:AG31)</f>
        <v>5056.8500000000004</v>
      </c>
      <c r="AH37" s="168">
        <f t="shared" si="33"/>
        <v>21166.800000000003</v>
      </c>
      <c r="AI37" s="141">
        <f>SUM(AI8:AI36)</f>
        <v>212231.71750000003</v>
      </c>
      <c r="AJ37" s="141">
        <f t="shared" ref="AJ37:AK37" si="34">SUM(AJ8:AJ36)</f>
        <v>56383.877500000002</v>
      </c>
      <c r="AK37" s="141">
        <f t="shared" si="34"/>
        <v>155847.84</v>
      </c>
      <c r="AL37" s="141">
        <f>SUM(AL8:AL36)</f>
        <v>1775736.005906417</v>
      </c>
      <c r="AM37" s="172">
        <f>SUM(AM8:AM36)</f>
        <v>1531227.005906417</v>
      </c>
      <c r="AN37" s="140"/>
    </row>
    <row r="38" spans="2:40" x14ac:dyDescent="0.25">
      <c r="G38" s="137"/>
      <c r="H38" s="137"/>
      <c r="I38" s="137"/>
      <c r="AE38" s="140"/>
      <c r="AF38" s="140"/>
      <c r="AG38" s="140"/>
      <c r="AH38" s="140"/>
      <c r="AI38" s="141"/>
      <c r="AJ38" s="141"/>
      <c r="AK38" s="141"/>
      <c r="AL38" s="141"/>
      <c r="AM38" s="180"/>
      <c r="AN38" s="140"/>
    </row>
    <row r="39" spans="2:40" x14ac:dyDescent="0.25">
      <c r="G39" s="137"/>
      <c r="H39" s="137"/>
      <c r="I39" s="137"/>
      <c r="AE39" s="140"/>
      <c r="AF39" s="140"/>
      <c r="AG39" s="140"/>
      <c r="AH39" s="140"/>
      <c r="AI39" s="141"/>
      <c r="AJ39" s="141"/>
      <c r="AK39" s="141"/>
      <c r="AL39" s="141"/>
      <c r="AM39" s="180"/>
      <c r="AN39" s="140"/>
    </row>
    <row r="40" spans="2:40" x14ac:dyDescent="0.25">
      <c r="D40" s="181" t="s">
        <v>416</v>
      </c>
      <c r="E40" s="181"/>
      <c r="F40" s="181">
        <f>SUM(F8:F39)</f>
        <v>119</v>
      </c>
      <c r="G40" s="182"/>
      <c r="H40" s="137"/>
      <c r="I40" s="137"/>
      <c r="M40" s="183" t="s">
        <v>417</v>
      </c>
      <c r="N40" s="183"/>
      <c r="O40" s="184">
        <f>N37+O37+S37</f>
        <v>715769.11931550805</v>
      </c>
      <c r="AC40" s="185" t="s">
        <v>418</v>
      </c>
      <c r="AD40" s="185"/>
      <c r="AE40" s="186">
        <f>AE37</f>
        <v>4244634.3499999996</v>
      </c>
      <c r="AF40" s="186"/>
      <c r="AG40" s="186"/>
      <c r="AH40" s="186"/>
      <c r="AI40" s="186">
        <f>SUM(AI8:AI36)</f>
        <v>212231.71750000003</v>
      </c>
      <c r="AJ40" s="186"/>
      <c r="AK40" s="186"/>
      <c r="AL40" s="141"/>
      <c r="AM40" s="180"/>
      <c r="AN40" s="140"/>
    </row>
    <row r="41" spans="2:40" x14ac:dyDescent="0.25">
      <c r="D41" s="181" t="s">
        <v>419</v>
      </c>
      <c r="E41" s="181"/>
      <c r="F41" s="181"/>
      <c r="G41" s="187">
        <f>SUM(G8:G36)</f>
        <v>213450</v>
      </c>
      <c r="H41" s="137"/>
      <c r="I41" s="137"/>
      <c r="M41" s="183" t="s">
        <v>420</v>
      </c>
      <c r="N41" s="183"/>
      <c r="O41" s="188">
        <f>O40/F40</f>
        <v>6014.8665488698152</v>
      </c>
      <c r="Y41" s="168"/>
      <c r="AC41" s="185" t="s">
        <v>421</v>
      </c>
      <c r="AD41" s="185"/>
      <c r="AE41" s="189">
        <f>AE40/F40</f>
        <v>35669.196218487392</v>
      </c>
      <c r="AF41" s="186"/>
      <c r="AG41" s="186"/>
      <c r="AH41" s="186"/>
      <c r="AI41" s="189">
        <f>AI40/F40</f>
        <v>1783.45981092437</v>
      </c>
      <c r="AJ41" s="189"/>
      <c r="AK41" s="189"/>
      <c r="AL41" s="141"/>
      <c r="AM41" s="180"/>
      <c r="AN41" s="140"/>
    </row>
    <row r="42" spans="2:40" x14ac:dyDescent="0.25">
      <c r="D42" s="181" t="s">
        <v>422</v>
      </c>
      <c r="E42" s="181"/>
      <c r="F42" s="181"/>
      <c r="G42" s="190">
        <f>G41/F40</f>
        <v>1793.6974789915967</v>
      </c>
      <c r="H42" s="137"/>
      <c r="I42" s="137"/>
      <c r="AE42" s="140"/>
      <c r="AF42" s="140"/>
      <c r="AG42" s="140"/>
      <c r="AH42" s="140"/>
      <c r="AI42" s="141"/>
      <c r="AJ42" s="141"/>
      <c r="AK42" s="141"/>
      <c r="AL42" s="141"/>
      <c r="AM42" s="180"/>
      <c r="AN42" s="140"/>
    </row>
    <row r="43" spans="2:40" x14ac:dyDescent="0.25">
      <c r="G43" s="137"/>
      <c r="H43" s="137"/>
      <c r="I43" s="137"/>
      <c r="M43" s="183" t="s">
        <v>423</v>
      </c>
      <c r="N43" s="183"/>
      <c r="O43" s="183"/>
      <c r="P43" s="183"/>
      <c r="Q43" s="184">
        <f>P37+Q37+T37</f>
        <v>847735.16909090907</v>
      </c>
      <c r="R43" s="191"/>
      <c r="S43" s="192"/>
      <c r="T43" s="192"/>
      <c r="U43" s="192"/>
      <c r="V43" s="192"/>
      <c r="W43" s="192"/>
      <c r="X43" s="192"/>
      <c r="AE43" s="140"/>
      <c r="AF43" s="140"/>
      <c r="AG43" s="140"/>
      <c r="AH43" s="140"/>
      <c r="AI43" s="141"/>
      <c r="AJ43" s="141"/>
      <c r="AK43" s="141"/>
      <c r="AL43" s="141"/>
      <c r="AM43" s="180"/>
      <c r="AN43" s="140"/>
    </row>
    <row r="44" spans="2:40" x14ac:dyDescent="0.25">
      <c r="G44" s="137"/>
      <c r="H44" s="137"/>
      <c r="I44" s="137"/>
      <c r="M44" s="183" t="s">
        <v>421</v>
      </c>
      <c r="N44" s="183"/>
      <c r="O44" s="183"/>
      <c r="P44" s="183"/>
      <c r="Q44" s="188">
        <f>Q43/F40</f>
        <v>7123.8249503437737</v>
      </c>
      <c r="R44" s="193"/>
      <c r="S44" s="192"/>
      <c r="T44" s="192"/>
      <c r="U44" s="192"/>
      <c r="V44" s="192"/>
      <c r="W44" s="192"/>
      <c r="X44" s="192"/>
      <c r="AC44" s="185" t="s">
        <v>433</v>
      </c>
      <c r="AD44" s="185"/>
      <c r="AE44" s="198">
        <f>SUM(AG8:AG19)</f>
        <v>5056.8500000000004</v>
      </c>
      <c r="AF44" s="140"/>
      <c r="AG44" s="140"/>
      <c r="AH44" s="140"/>
      <c r="AI44" s="141"/>
      <c r="AJ44" s="141"/>
      <c r="AK44" s="141"/>
      <c r="AL44" s="141"/>
      <c r="AM44" s="180"/>
      <c r="AN44" s="140"/>
    </row>
    <row r="45" spans="2:40" x14ac:dyDescent="0.25">
      <c r="G45" s="137"/>
      <c r="H45" s="137"/>
      <c r="I45" s="137"/>
      <c r="AC45" s="185" t="s">
        <v>434</v>
      </c>
      <c r="AD45" s="185"/>
      <c r="AE45" s="198">
        <f>SUM(AH8:AH19)</f>
        <v>21166.800000000003</v>
      </c>
      <c r="AF45" s="140"/>
      <c r="AG45" s="140"/>
      <c r="AH45" s="140"/>
      <c r="AI45" s="141"/>
      <c r="AJ45" s="141"/>
      <c r="AK45" s="141"/>
      <c r="AL45" s="141"/>
      <c r="AM45" s="180"/>
      <c r="AN45" s="140"/>
    </row>
    <row r="46" spans="2:40" x14ac:dyDescent="0.25">
      <c r="G46" s="137"/>
      <c r="H46" s="137"/>
      <c r="I46" s="137"/>
      <c r="AE46" s="140"/>
      <c r="AF46" s="140"/>
      <c r="AG46" s="140"/>
      <c r="AH46" s="140"/>
      <c r="AI46" s="141"/>
      <c r="AJ46" s="141"/>
      <c r="AK46" s="141"/>
      <c r="AL46" s="141"/>
      <c r="AM46" s="180"/>
      <c r="AN46" s="140"/>
    </row>
    <row r="47" spans="2:40" ht="15.75" thickBot="1" x14ac:dyDescent="0.3">
      <c r="M47" s="183" t="s">
        <v>428</v>
      </c>
      <c r="N47" s="183"/>
      <c r="O47" s="183"/>
      <c r="P47" s="199">
        <f>SUM(W8:W19)</f>
        <v>3473.272727272727</v>
      </c>
      <c r="AC47" s="185" t="s">
        <v>439</v>
      </c>
      <c r="AD47" s="185"/>
      <c r="AE47" s="186">
        <f>SUM(AJ8:AJ19)</f>
        <v>56383.877500000002</v>
      </c>
    </row>
    <row r="48" spans="2:40" x14ac:dyDescent="0.25">
      <c r="B48" s="202" t="s">
        <v>583</v>
      </c>
      <c r="C48" s="203"/>
      <c r="D48" s="208">
        <v>254127.92329411762</v>
      </c>
      <c r="E48" t="s">
        <v>457</v>
      </c>
      <c r="M48" s="183" t="s">
        <v>426</v>
      </c>
      <c r="N48" s="183"/>
      <c r="O48" s="183"/>
      <c r="P48" s="199">
        <f>SUM(X8:X19)</f>
        <v>13893.090909090908</v>
      </c>
      <c r="AC48" s="185" t="s">
        <v>440</v>
      </c>
      <c r="AD48" s="185"/>
      <c r="AE48" s="186">
        <f>SUM(AK8:AK19)</f>
        <v>155847.84</v>
      </c>
    </row>
    <row r="49" spans="2:18" x14ac:dyDescent="0.25">
      <c r="B49" s="204" t="s">
        <v>444</v>
      </c>
      <c r="C49" s="129"/>
      <c r="D49" s="205">
        <v>2.6761400000000002</v>
      </c>
      <c r="E49" t="s">
        <v>445</v>
      </c>
    </row>
    <row r="50" spans="2:18" x14ac:dyDescent="0.25">
      <c r="B50" s="204" t="s">
        <v>584</v>
      </c>
      <c r="C50" s="129"/>
      <c r="D50" s="209">
        <v>680081.90064431995</v>
      </c>
      <c r="M50" s="183" t="s">
        <v>427</v>
      </c>
      <c r="N50" s="183"/>
      <c r="O50" s="183"/>
      <c r="P50" s="195">
        <f>SUM(N8:O19)+SUM(S8:S19)</f>
        <v>715769.11931550805</v>
      </c>
    </row>
    <row r="51" spans="2:18" ht="15.75" thickBot="1" x14ac:dyDescent="0.3">
      <c r="B51" s="206" t="s">
        <v>585</v>
      </c>
      <c r="C51" s="207"/>
      <c r="D51" s="217">
        <v>680.08190064431994</v>
      </c>
      <c r="M51" s="183" t="s">
        <v>429</v>
      </c>
      <c r="N51" s="183"/>
      <c r="O51" s="183"/>
      <c r="P51" s="138">
        <f>SUM(P8:P19)+SUM(U8:U19)+SUM(AJ8:AJ19)</f>
        <v>249409.02840909091</v>
      </c>
      <c r="R51" s="194"/>
    </row>
    <row r="52" spans="2:18" x14ac:dyDescent="0.25">
      <c r="M52" s="183" t="s">
        <v>432</v>
      </c>
      <c r="N52" s="183"/>
      <c r="O52" s="183"/>
      <c r="P52" s="138">
        <f>SUM(Q8:Q19)+SUM(V8:V19)+SUM(AK8:AK19)</f>
        <v>810557.85818181816</v>
      </c>
    </row>
    <row r="53" spans="2:18" x14ac:dyDescent="0.25">
      <c r="P53" s="196">
        <f>SUM(P50:P52)</f>
        <v>1775736.005906417</v>
      </c>
    </row>
    <row r="57" spans="2:18" x14ac:dyDescent="0.25">
      <c r="E57" t="s">
        <v>446</v>
      </c>
    </row>
    <row r="58" spans="2:18" x14ac:dyDescent="0.25">
      <c r="B58" t="s">
        <v>441</v>
      </c>
      <c r="D58" s="201">
        <f>N37+O37+S37</f>
        <v>715769.11931550805</v>
      </c>
      <c r="E58" s="201">
        <f>D58/1000000</f>
        <v>0.71576911931550802</v>
      </c>
    </row>
    <row r="59" spans="2:18" ht="15.75" x14ac:dyDescent="0.3">
      <c r="B59" s="9" t="s">
        <v>295</v>
      </c>
      <c r="D59" s="201">
        <f>P37+U37+AJ37</f>
        <v>249409.02840909091</v>
      </c>
      <c r="E59" s="201">
        <f>D59/1000000</f>
        <v>0.2494090284090909</v>
      </c>
    </row>
    <row r="60" spans="2:18" ht="15.75" x14ac:dyDescent="0.3">
      <c r="B60" s="9" t="s">
        <v>296</v>
      </c>
      <c r="D60" s="201">
        <f>Q37+V37+AK37</f>
        <v>810557.85818181816</v>
      </c>
      <c r="E60" s="201">
        <f>D60/1000000</f>
        <v>0.81055785818181814</v>
      </c>
    </row>
    <row r="61" spans="2:18" ht="15.75" x14ac:dyDescent="0.3">
      <c r="B61" s="4" t="s">
        <v>211</v>
      </c>
      <c r="D61" s="168">
        <f>L37+W37+AG37</f>
        <v>36182.122727272726</v>
      </c>
      <c r="E61" s="168">
        <f>D61</f>
        <v>36182.122727272726</v>
      </c>
    </row>
    <row r="62" spans="2:18" ht="15.75" x14ac:dyDescent="0.3">
      <c r="B62" s="4" t="s">
        <v>212</v>
      </c>
      <c r="D62" s="168">
        <f>M37+X37+AH37</f>
        <v>91210.890909090915</v>
      </c>
      <c r="E62" s="168">
        <f>D62*60</f>
        <v>5472653.4545454551</v>
      </c>
    </row>
    <row r="63" spans="2:18" ht="16.5" x14ac:dyDescent="0.3">
      <c r="B63" s="4" t="s">
        <v>325</v>
      </c>
      <c r="D63" s="167">
        <f>D51</f>
        <v>680.08190064431994</v>
      </c>
      <c r="E63" s="167">
        <f>D63</f>
        <v>680.08190064431994</v>
      </c>
    </row>
  </sheetData>
  <mergeCells count="3">
    <mergeCell ref="A6:I6"/>
    <mergeCell ref="J6:Y6"/>
    <mergeCell ref="Z6:AI6"/>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84"/>
  <sheetViews>
    <sheetView topLeftCell="A61" zoomScale="70" zoomScaleNormal="70" workbookViewId="0">
      <selection activeCell="F80" sqref="F80"/>
    </sheetView>
  </sheetViews>
  <sheetFormatPr defaultRowHeight="15" x14ac:dyDescent="0.25"/>
  <cols>
    <col min="2" max="2" width="10.85546875" bestFit="1" customWidth="1"/>
    <col min="3" max="3" width="26" bestFit="1" customWidth="1"/>
    <col min="4" max="4" width="18.85546875" bestFit="1" customWidth="1"/>
    <col min="5" max="5" width="24.140625" bestFit="1" customWidth="1"/>
    <col min="6" max="6" width="16.28515625" bestFit="1" customWidth="1"/>
    <col min="7" max="7" width="16.28515625" style="220" customWidth="1"/>
    <col min="8" max="8" width="18.140625" bestFit="1" customWidth="1"/>
    <col min="9" max="9" width="18.140625" customWidth="1"/>
    <col min="10" max="10" width="19.85546875" bestFit="1" customWidth="1"/>
    <col min="11" max="11" width="17.85546875" customWidth="1"/>
    <col min="12" max="12" width="12.28515625" bestFit="1" customWidth="1"/>
    <col min="13" max="13" width="12.28515625" customWidth="1"/>
    <col min="14" max="14" width="17.42578125" bestFit="1" customWidth="1"/>
    <col min="15" max="15" width="17.140625" bestFit="1" customWidth="1"/>
    <col min="16" max="16" width="14.85546875" bestFit="1" customWidth="1"/>
    <col min="17" max="17" width="15" bestFit="1" customWidth="1"/>
    <col min="18" max="18" width="17" customWidth="1"/>
    <col min="19" max="19" width="22.28515625" bestFit="1" customWidth="1"/>
    <col min="20" max="20" width="14.140625" customWidth="1"/>
    <col min="21" max="26" width="13.140625" customWidth="1"/>
    <col min="27" max="27" width="23.85546875" bestFit="1" customWidth="1"/>
    <col min="28" max="29" width="14.28515625" customWidth="1"/>
    <col min="30" max="30" width="13.7109375" customWidth="1"/>
    <col min="31" max="31" width="19.140625" bestFit="1" customWidth="1"/>
    <col min="32" max="32" width="14.28515625" bestFit="1" customWidth="1"/>
    <col min="33" max="33" width="19.42578125" bestFit="1" customWidth="1"/>
    <col min="34" max="34" width="12.7109375" bestFit="1" customWidth="1"/>
    <col min="35" max="36" width="11.5703125" customWidth="1"/>
    <col min="37" max="37" width="18.42578125" bestFit="1" customWidth="1"/>
    <col min="38" max="39" width="18.42578125" customWidth="1"/>
    <col min="40" max="40" width="25.42578125" bestFit="1" customWidth="1"/>
    <col min="41" max="41" width="20.5703125" bestFit="1" customWidth="1"/>
    <col min="42" max="42" width="18.28515625" bestFit="1" customWidth="1"/>
    <col min="43" max="43" width="17.28515625" bestFit="1" customWidth="1"/>
  </cols>
  <sheetData>
    <row r="1" spans="1:43" ht="18.75" x14ac:dyDescent="0.3">
      <c r="B1" s="1" t="s">
        <v>299</v>
      </c>
      <c r="J1" s="137"/>
      <c r="K1" s="137"/>
      <c r="S1" s="138" t="s">
        <v>345</v>
      </c>
      <c r="T1" s="139">
        <v>55</v>
      </c>
      <c r="AG1" s="140"/>
      <c r="AH1" s="140"/>
      <c r="AI1" s="140"/>
      <c r="AJ1" s="140"/>
      <c r="AK1" s="141"/>
      <c r="AL1" s="141"/>
      <c r="AM1" s="141"/>
      <c r="AN1" s="141"/>
      <c r="AO1" s="142"/>
      <c r="AP1" s="140"/>
    </row>
    <row r="2" spans="1:43" x14ac:dyDescent="0.25">
      <c r="B2" t="s">
        <v>76</v>
      </c>
      <c r="J2" s="137"/>
      <c r="K2" s="137"/>
      <c r="N2" s="143" t="s">
        <v>346</v>
      </c>
      <c r="O2" s="143"/>
      <c r="P2" s="143"/>
      <c r="S2" t="s">
        <v>347</v>
      </c>
      <c r="T2">
        <v>4</v>
      </c>
      <c r="AC2" s="144" t="s">
        <v>348</v>
      </c>
      <c r="AD2" s="144"/>
      <c r="AE2" s="144"/>
      <c r="AG2" s="140"/>
      <c r="AH2" s="140"/>
      <c r="AI2" s="140"/>
      <c r="AJ2" s="140"/>
      <c r="AK2" s="141"/>
      <c r="AL2" s="141"/>
      <c r="AM2" s="141"/>
      <c r="AN2" s="141"/>
      <c r="AO2" s="142"/>
      <c r="AP2" s="140"/>
    </row>
    <row r="3" spans="1:43" x14ac:dyDescent="0.25">
      <c r="C3" s="145" t="s">
        <v>349</v>
      </c>
      <c r="J3" s="137"/>
      <c r="K3" s="137"/>
      <c r="N3" s="143" t="s">
        <v>350</v>
      </c>
      <c r="O3" s="143"/>
      <c r="P3" s="146">
        <v>5.58</v>
      </c>
      <c r="S3" t="s">
        <v>351</v>
      </c>
      <c r="T3" s="147">
        <v>500</v>
      </c>
      <c r="AC3" s="144" t="s">
        <v>350</v>
      </c>
      <c r="AD3" s="144"/>
      <c r="AE3" s="148">
        <v>11.15</v>
      </c>
      <c r="AG3" s="140"/>
      <c r="AH3" s="140"/>
      <c r="AI3" s="140"/>
      <c r="AJ3" s="140"/>
      <c r="AK3" s="141"/>
      <c r="AL3" s="141"/>
      <c r="AM3" s="141"/>
      <c r="AN3" s="141"/>
      <c r="AO3" s="142"/>
      <c r="AP3" s="140"/>
    </row>
    <row r="4" spans="1:43" x14ac:dyDescent="0.25">
      <c r="J4" s="137"/>
      <c r="K4" s="137"/>
      <c r="N4" s="143" t="s">
        <v>352</v>
      </c>
      <c r="O4" s="143"/>
      <c r="P4" s="146">
        <v>7.8</v>
      </c>
      <c r="AC4" s="144" t="s">
        <v>352</v>
      </c>
      <c r="AD4" s="144"/>
      <c r="AE4" s="148">
        <v>15.6</v>
      </c>
      <c r="AG4" s="140"/>
      <c r="AH4" s="140"/>
      <c r="AI4" s="140"/>
      <c r="AJ4" s="140"/>
      <c r="AK4" s="141"/>
      <c r="AL4" s="141"/>
      <c r="AM4" s="141"/>
      <c r="AN4" s="141"/>
      <c r="AO4" s="142"/>
      <c r="AP4" s="140"/>
    </row>
    <row r="5" spans="1:43" x14ac:dyDescent="0.25">
      <c r="F5" t="s">
        <v>461</v>
      </c>
      <c r="J5" s="137">
        <v>24000</v>
      </c>
      <c r="K5" s="137"/>
      <c r="N5" s="149"/>
      <c r="O5" s="149"/>
      <c r="P5" s="150"/>
      <c r="AC5" s="149"/>
      <c r="AD5" s="149"/>
      <c r="AE5" s="150"/>
      <c r="AG5" s="140"/>
      <c r="AH5" s="140"/>
      <c r="AI5" s="140"/>
      <c r="AJ5" s="140"/>
      <c r="AK5" s="141"/>
      <c r="AL5" s="141"/>
      <c r="AM5" s="141"/>
      <c r="AN5" s="141"/>
      <c r="AO5" s="142"/>
      <c r="AP5" s="140"/>
    </row>
    <row r="6" spans="1:43" x14ac:dyDescent="0.25">
      <c r="F6" t="s">
        <v>462</v>
      </c>
      <c r="J6" s="137">
        <v>261</v>
      </c>
      <c r="K6" s="137"/>
      <c r="N6" s="149"/>
      <c r="O6" s="149"/>
      <c r="P6" s="150"/>
      <c r="AC6" s="149" t="s">
        <v>383</v>
      </c>
      <c r="AD6" s="149"/>
      <c r="AE6" s="221">
        <v>0.05</v>
      </c>
      <c r="AG6" s="140"/>
      <c r="AH6" s="140"/>
      <c r="AI6" s="140"/>
      <c r="AJ6" s="140"/>
      <c r="AK6" s="141"/>
      <c r="AL6" s="141"/>
      <c r="AM6" s="141"/>
      <c r="AN6" s="141"/>
      <c r="AO6" s="142"/>
      <c r="AP6" s="140"/>
    </row>
    <row r="7" spans="1:43" x14ac:dyDescent="0.25">
      <c r="J7" s="137"/>
      <c r="K7" s="137"/>
      <c r="N7" s="149"/>
      <c r="O7" s="149"/>
      <c r="P7" s="150"/>
      <c r="AC7" s="149"/>
      <c r="AD7" s="149"/>
      <c r="AE7" s="150" t="s">
        <v>463</v>
      </c>
      <c r="AG7" s="140"/>
      <c r="AH7" s="140"/>
      <c r="AI7" s="140"/>
      <c r="AJ7" s="140"/>
      <c r="AK7" s="141"/>
      <c r="AL7" s="141"/>
      <c r="AM7" s="141"/>
      <c r="AN7" s="141"/>
      <c r="AO7" s="142"/>
      <c r="AP7" s="140"/>
    </row>
    <row r="8" spans="1:43" x14ac:dyDescent="0.25">
      <c r="F8" t="s">
        <v>464</v>
      </c>
      <c r="J8" s="222">
        <v>230</v>
      </c>
      <c r="K8" s="137"/>
      <c r="N8" s="149"/>
      <c r="O8" s="149"/>
      <c r="P8" s="150"/>
      <c r="AC8" s="149"/>
      <c r="AD8" s="149"/>
      <c r="AE8" s="150"/>
      <c r="AG8" s="140"/>
      <c r="AH8" s="140"/>
      <c r="AI8" s="140"/>
      <c r="AJ8" s="140"/>
      <c r="AK8" s="141"/>
      <c r="AL8" s="141"/>
      <c r="AM8" s="141"/>
      <c r="AN8" s="141"/>
      <c r="AO8" s="142"/>
      <c r="AP8" s="140"/>
    </row>
    <row r="9" spans="1:43" x14ac:dyDescent="0.25">
      <c r="F9" t="s">
        <v>465</v>
      </c>
      <c r="J9" s="222">
        <v>20</v>
      </c>
      <c r="K9" s="137"/>
      <c r="N9" s="149"/>
      <c r="O9" s="149"/>
      <c r="P9" s="150"/>
      <c r="AC9" s="149"/>
      <c r="AD9" s="149"/>
      <c r="AE9" s="150"/>
      <c r="AG9" s="140"/>
      <c r="AH9" s="140"/>
      <c r="AI9" s="140"/>
      <c r="AJ9" s="140"/>
      <c r="AK9" s="141"/>
      <c r="AL9" s="141"/>
      <c r="AM9" s="141"/>
      <c r="AN9" s="141"/>
      <c r="AO9" s="142"/>
      <c r="AP9" s="140"/>
    </row>
    <row r="10" spans="1:43" x14ac:dyDescent="0.25">
      <c r="F10" t="s">
        <v>466</v>
      </c>
      <c r="J10" s="222">
        <v>11</v>
      </c>
      <c r="K10" s="137"/>
      <c r="N10" s="149"/>
      <c r="O10" s="149"/>
      <c r="P10" s="150"/>
      <c r="AC10" s="149"/>
      <c r="AD10" s="149"/>
      <c r="AE10" s="150"/>
      <c r="AG10" s="140"/>
      <c r="AH10" s="140"/>
      <c r="AI10" s="140"/>
      <c r="AJ10" s="140"/>
      <c r="AK10" s="141"/>
      <c r="AL10" s="141"/>
      <c r="AM10" s="141"/>
      <c r="AN10" s="141"/>
      <c r="AO10" s="142"/>
      <c r="AP10" s="140"/>
    </row>
    <row r="11" spans="1:43" x14ac:dyDescent="0.25">
      <c r="J11" s="137"/>
      <c r="K11" s="137"/>
      <c r="N11" s="149"/>
      <c r="O11" s="149"/>
      <c r="P11" s="150"/>
      <c r="AC11" s="149"/>
      <c r="AD11" s="149"/>
      <c r="AE11" s="150"/>
      <c r="AG11" s="140"/>
      <c r="AH11" s="140"/>
      <c r="AI11" s="140"/>
      <c r="AJ11" s="140"/>
      <c r="AK11" s="141"/>
      <c r="AL11" s="141"/>
      <c r="AM11" s="141"/>
      <c r="AN11" s="141"/>
      <c r="AO11" s="142"/>
      <c r="AP11" s="140"/>
    </row>
    <row r="12" spans="1:43" x14ac:dyDescent="0.25">
      <c r="B12" s="507" t="s">
        <v>353</v>
      </c>
      <c r="C12" s="508"/>
      <c r="D12" s="508"/>
      <c r="E12" s="508"/>
      <c r="F12" s="508"/>
      <c r="G12" s="508"/>
      <c r="H12" s="508"/>
      <c r="I12" s="508"/>
      <c r="J12" s="508"/>
      <c r="K12" s="508"/>
      <c r="L12" s="510" t="s">
        <v>354</v>
      </c>
      <c r="M12" s="511"/>
      <c r="N12" s="511"/>
      <c r="O12" s="511"/>
      <c r="P12" s="511"/>
      <c r="Q12" s="511"/>
      <c r="R12" s="511"/>
      <c r="S12" s="511"/>
      <c r="T12" s="511"/>
      <c r="U12" s="511"/>
      <c r="V12" s="511"/>
      <c r="W12" s="511"/>
      <c r="X12" s="511"/>
      <c r="Y12" s="511"/>
      <c r="Z12" s="511"/>
      <c r="AA12" s="512"/>
      <c r="AB12" s="513" t="s">
        <v>355</v>
      </c>
      <c r="AC12" s="513"/>
      <c r="AD12" s="513"/>
      <c r="AE12" s="513"/>
      <c r="AF12" s="513"/>
      <c r="AG12" s="513"/>
      <c r="AH12" s="513"/>
      <c r="AI12" s="513"/>
      <c r="AJ12" s="513"/>
      <c r="AK12" s="513"/>
      <c r="AL12" s="218"/>
      <c r="AM12" s="218"/>
      <c r="AN12" s="223"/>
      <c r="AO12" s="153"/>
      <c r="AP12" s="224"/>
      <c r="AQ12" s="225"/>
    </row>
    <row r="13" spans="1:43" s="164" customFormat="1" ht="90" x14ac:dyDescent="0.25">
      <c r="A13" s="164" t="s">
        <v>467</v>
      </c>
      <c r="B13" s="155" t="s">
        <v>356</v>
      </c>
      <c r="C13" s="155" t="s">
        <v>357</v>
      </c>
      <c r="D13" s="155" t="s">
        <v>358</v>
      </c>
      <c r="E13" s="155" t="s">
        <v>359</v>
      </c>
      <c r="F13" s="155" t="s">
        <v>360</v>
      </c>
      <c r="G13" s="226" t="s">
        <v>468</v>
      </c>
      <c r="H13" s="155" t="s">
        <v>469</v>
      </c>
      <c r="I13" s="155" t="s">
        <v>470</v>
      </c>
      <c r="J13" s="156" t="s">
        <v>471</v>
      </c>
      <c r="K13" s="156" t="s">
        <v>472</v>
      </c>
      <c r="L13" s="157" t="s">
        <v>365</v>
      </c>
      <c r="M13" s="157" t="s">
        <v>366</v>
      </c>
      <c r="N13" s="157" t="s">
        <v>367</v>
      </c>
      <c r="O13" s="157" t="s">
        <v>368</v>
      </c>
      <c r="P13" s="157" t="s">
        <v>369</v>
      </c>
      <c r="Q13" s="157" t="s">
        <v>370</v>
      </c>
      <c r="R13" s="158" t="s">
        <v>371</v>
      </c>
      <c r="S13" s="158" t="s">
        <v>372</v>
      </c>
      <c r="T13" s="158" t="s">
        <v>373</v>
      </c>
      <c r="U13" s="158" t="s">
        <v>374</v>
      </c>
      <c r="V13" s="158" t="s">
        <v>442</v>
      </c>
      <c r="W13" s="158" t="s">
        <v>443</v>
      </c>
      <c r="X13" s="158" t="s">
        <v>430</v>
      </c>
      <c r="Y13" s="158" t="s">
        <v>431</v>
      </c>
      <c r="Z13" s="158" t="s">
        <v>375</v>
      </c>
      <c r="AA13" s="157" t="s">
        <v>376</v>
      </c>
      <c r="AB13" s="159" t="s">
        <v>377</v>
      </c>
      <c r="AC13" s="159" t="s">
        <v>378</v>
      </c>
      <c r="AD13" s="159" t="s">
        <v>379</v>
      </c>
      <c r="AE13" s="159" t="s">
        <v>380</v>
      </c>
      <c r="AF13" s="159" t="s">
        <v>381</v>
      </c>
      <c r="AG13" s="160" t="s">
        <v>382</v>
      </c>
      <c r="AH13" s="160" t="s">
        <v>383</v>
      </c>
      <c r="AI13" s="160" t="s">
        <v>435</v>
      </c>
      <c r="AJ13" s="160" t="s">
        <v>436</v>
      </c>
      <c r="AK13" s="160" t="s">
        <v>384</v>
      </c>
      <c r="AL13" s="160" t="s">
        <v>437</v>
      </c>
      <c r="AM13" s="160" t="s">
        <v>438</v>
      </c>
      <c r="AN13" s="227" t="s">
        <v>385</v>
      </c>
      <c r="AO13" s="162" t="s">
        <v>386</v>
      </c>
      <c r="AP13" s="228" t="s">
        <v>473</v>
      </c>
      <c r="AQ13" s="229" t="s">
        <v>474</v>
      </c>
    </row>
    <row r="14" spans="1:43" x14ac:dyDescent="0.25">
      <c r="A14" s="230">
        <v>42461</v>
      </c>
      <c r="B14" s="231" t="s">
        <v>387</v>
      </c>
      <c r="C14" s="231" t="s">
        <v>475</v>
      </c>
      <c r="D14" s="231" t="s">
        <v>476</v>
      </c>
      <c r="E14" s="231" t="s">
        <v>477</v>
      </c>
      <c r="F14" s="232">
        <v>42482</v>
      </c>
      <c r="G14" s="233">
        <v>18</v>
      </c>
      <c r="H14" s="231"/>
      <c r="I14" s="231"/>
      <c r="J14" s="234">
        <v>24000</v>
      </c>
      <c r="K14" s="234">
        <v>279.5</v>
      </c>
      <c r="L14" s="231">
        <v>24</v>
      </c>
      <c r="M14" s="231">
        <v>18</v>
      </c>
      <c r="N14" s="231">
        <v>48</v>
      </c>
      <c r="O14" s="231">
        <v>192</v>
      </c>
      <c r="P14" s="235">
        <f>[1]Ardmarnock!G26</f>
        <v>43582</v>
      </c>
      <c r="Q14" s="235">
        <f>[1]Ardmarnock!G32</f>
        <v>3244</v>
      </c>
      <c r="R14" s="236">
        <f>N14*$P$3</f>
        <v>267.84000000000003</v>
      </c>
      <c r="S14" s="236">
        <f>O14*$P$4</f>
        <v>1497.6</v>
      </c>
      <c r="T14" s="237">
        <f>M14/$T$1</f>
        <v>0.32727272727272727</v>
      </c>
      <c r="U14" s="238">
        <f>IF(L14=0,0,T14*$T$3)</f>
        <v>163.63636363636363</v>
      </c>
      <c r="V14" s="236">
        <f>L14*T14</f>
        <v>7.8545454545454545</v>
      </c>
      <c r="W14" s="236">
        <f>T14*(L14*$T$2)</f>
        <v>31.418181818181818</v>
      </c>
      <c r="X14" s="236">
        <f>T14*(L14*$AE$3)</f>
        <v>87.578181818181818</v>
      </c>
      <c r="Y14" s="236">
        <f>T14*(L14*$T$2)*$AE$4</f>
        <v>490.12363636363636</v>
      </c>
      <c r="Z14" s="236">
        <f>X14+Y14</f>
        <v>577.70181818181823</v>
      </c>
      <c r="AA14" s="234">
        <f>P14+Q14+R14+S14+U14+Z14</f>
        <v>49332.778181818176</v>
      </c>
      <c r="AB14" s="231">
        <v>500</v>
      </c>
      <c r="AC14" s="231">
        <v>4</v>
      </c>
      <c r="AD14" s="231">
        <f>AB14*AC14</f>
        <v>2000</v>
      </c>
      <c r="AE14" s="236">
        <f>AB14*$AE$3</f>
        <v>5575</v>
      </c>
      <c r="AF14" s="236">
        <f>AD14*$AE$4</f>
        <v>31200</v>
      </c>
      <c r="AG14" s="239">
        <f>(AE14+AF14)</f>
        <v>36775</v>
      </c>
      <c r="AH14" s="240">
        <f>$AE$6</f>
        <v>0.05</v>
      </c>
      <c r="AI14" s="241">
        <f>AB14*AH14</f>
        <v>25</v>
      </c>
      <c r="AJ14" s="241">
        <f>AD14*AH14</f>
        <v>100</v>
      </c>
      <c r="AK14" s="239">
        <f>AG14*AH14</f>
        <v>1838.75</v>
      </c>
      <c r="AL14" s="239">
        <f>AE14*AH14</f>
        <v>278.75</v>
      </c>
      <c r="AM14" s="239">
        <f>AF14*AH14</f>
        <v>1560</v>
      </c>
      <c r="AN14" s="242">
        <f>AA14+AG14</f>
        <v>86107.778181818168</v>
      </c>
      <c r="AO14" s="172">
        <f>AN14-($J$63*G14)</f>
        <v>49832.956753246741</v>
      </c>
      <c r="AP14" s="243">
        <f>AA14+AK14</f>
        <v>51171.528181818176</v>
      </c>
      <c r="AQ14" s="243">
        <f>AP14-($J$63*G14)</f>
        <v>14896.706753246748</v>
      </c>
    </row>
    <row r="15" spans="1:43" x14ac:dyDescent="0.25">
      <c r="A15" s="230"/>
      <c r="B15" s="231"/>
      <c r="C15" s="231"/>
      <c r="D15" s="231"/>
      <c r="E15" s="231"/>
      <c r="F15" s="232" t="s">
        <v>478</v>
      </c>
      <c r="G15" s="233">
        <v>0</v>
      </c>
      <c r="H15" s="231"/>
      <c r="I15" s="237"/>
      <c r="J15" s="234"/>
      <c r="K15" s="234"/>
      <c r="L15" s="231"/>
      <c r="M15" s="231"/>
      <c r="N15" s="231"/>
      <c r="O15" s="231"/>
      <c r="P15" s="235"/>
      <c r="Q15" s="235"/>
      <c r="R15" s="236"/>
      <c r="S15" s="236"/>
      <c r="T15" s="237"/>
      <c r="U15" s="236"/>
      <c r="V15" s="236"/>
      <c r="W15" s="236"/>
      <c r="X15" s="236"/>
      <c r="Y15" s="236"/>
      <c r="Z15" s="236"/>
      <c r="AA15" s="234"/>
      <c r="AB15" s="231"/>
      <c r="AC15" s="231"/>
      <c r="AD15" s="231"/>
      <c r="AE15" s="236"/>
      <c r="AF15" s="236"/>
      <c r="AG15" s="239"/>
      <c r="AH15" s="240"/>
      <c r="AI15" s="241"/>
      <c r="AJ15" s="241"/>
      <c r="AK15" s="239"/>
      <c r="AL15" s="239"/>
      <c r="AM15" s="239"/>
      <c r="AN15" s="242"/>
      <c r="AO15" s="172">
        <f>AN15-($J$63*G15)</f>
        <v>0</v>
      </c>
      <c r="AP15" s="243"/>
      <c r="AQ15" s="243">
        <f>AP15-($J$63*G15)</f>
        <v>0</v>
      </c>
    </row>
    <row r="16" spans="1:43" x14ac:dyDescent="0.25">
      <c r="A16" s="230"/>
      <c r="B16" s="231"/>
      <c r="C16" s="231"/>
      <c r="D16" s="231"/>
      <c r="E16" s="231"/>
      <c r="F16" s="244" t="s">
        <v>479</v>
      </c>
      <c r="G16" s="245"/>
      <c r="H16" s="246">
        <f>SUM(G14:G15)</f>
        <v>18</v>
      </c>
      <c r="I16" s="247">
        <f>H16/(($J$8-$J$9)/$J$10)</f>
        <v>0.94285714285714295</v>
      </c>
      <c r="J16" s="234"/>
      <c r="K16" s="234"/>
      <c r="L16" s="231"/>
      <c r="M16" s="231"/>
      <c r="N16" s="231"/>
      <c r="O16" s="231"/>
      <c r="P16" s="235"/>
      <c r="Q16" s="235"/>
      <c r="R16" s="236"/>
      <c r="S16" s="236"/>
      <c r="T16" s="237"/>
      <c r="U16" s="236"/>
      <c r="V16" s="236"/>
      <c r="W16" s="236"/>
      <c r="X16" s="236"/>
      <c r="Y16" s="236"/>
      <c r="Z16" s="236"/>
      <c r="AA16" s="234"/>
      <c r="AB16" s="231"/>
      <c r="AC16" s="231"/>
      <c r="AD16" s="231"/>
      <c r="AE16" s="236"/>
      <c r="AF16" s="236"/>
      <c r="AG16" s="239"/>
      <c r="AH16" s="240"/>
      <c r="AI16" s="241"/>
      <c r="AJ16" s="241"/>
      <c r="AK16" s="239"/>
      <c r="AL16" s="239"/>
      <c r="AM16" s="239"/>
      <c r="AN16" s="242"/>
      <c r="AO16" s="172"/>
      <c r="AP16" s="243"/>
      <c r="AQ16" s="243"/>
    </row>
    <row r="17" spans="1:43" x14ac:dyDescent="0.25">
      <c r="A17" s="248">
        <v>42491</v>
      </c>
      <c r="B17" s="249" t="s">
        <v>480</v>
      </c>
      <c r="C17" s="250"/>
      <c r="D17" s="250"/>
      <c r="E17" s="250"/>
      <c r="F17" s="251"/>
      <c r="G17" s="252">
        <v>0</v>
      </c>
      <c r="H17" s="249"/>
      <c r="I17" s="253"/>
      <c r="J17" s="254">
        <v>0</v>
      </c>
      <c r="K17" s="254">
        <v>2103.7199999999998</v>
      </c>
      <c r="L17" s="253"/>
      <c r="M17" s="253"/>
      <c r="N17" s="253"/>
      <c r="O17" s="253"/>
      <c r="P17" s="253"/>
      <c r="Q17" s="253"/>
      <c r="R17" s="255">
        <f t="shared" ref="R17:R53" si="0">N17*$P$3</f>
        <v>0</v>
      </c>
      <c r="S17" s="255">
        <f t="shared" ref="S17:S53" si="1">O17*$P$4</f>
        <v>0</v>
      </c>
      <c r="T17" s="256">
        <f t="shared" ref="T17:T53" si="2">M17/$T$1</f>
        <v>0</v>
      </c>
      <c r="U17" s="255">
        <f>IF(L17=0,0,T17*$T$3)</f>
        <v>0</v>
      </c>
      <c r="V17" s="255">
        <f t="shared" ref="V17:V53" si="3">L17*T17</f>
        <v>0</v>
      </c>
      <c r="W17" s="255">
        <f t="shared" ref="W17:W53" si="4">T17*(L17*$T$2)</f>
        <v>0</v>
      </c>
      <c r="X17" s="255">
        <f t="shared" ref="X17:X51" si="5">T17*(L17*$AE$3)</f>
        <v>0</v>
      </c>
      <c r="Y17" s="255">
        <f t="shared" ref="Y17:Y53" si="6">T17*(L17*$T$2)*$AE$4</f>
        <v>0</v>
      </c>
      <c r="Z17" s="255">
        <f t="shared" ref="Z17:Z53" si="7">X17+Y17</f>
        <v>0</v>
      </c>
      <c r="AA17" s="254">
        <f t="shared" ref="AA17:AA53" si="8">P17+Q17+R17+S17+U17+Z17</f>
        <v>0</v>
      </c>
      <c r="AB17" s="253"/>
      <c r="AC17" s="253"/>
      <c r="AD17" s="253"/>
      <c r="AE17" s="255"/>
      <c r="AF17" s="255">
        <f t="shared" ref="AF17:AF57" si="9">AD17*$AE$4</f>
        <v>0</v>
      </c>
      <c r="AG17" s="257"/>
      <c r="AH17" s="258">
        <f>$AE$6</f>
        <v>0.05</v>
      </c>
      <c r="AI17" s="259">
        <f t="shared" ref="AI17:AI57" si="10">AB17*AH17</f>
        <v>0</v>
      </c>
      <c r="AJ17" s="259">
        <f t="shared" ref="AJ17:AJ57" si="11">AD17*AH17</f>
        <v>0</v>
      </c>
      <c r="AK17" s="257"/>
      <c r="AL17" s="257">
        <f t="shared" ref="AL17:AL57" si="12">AE17*AH17</f>
        <v>0</v>
      </c>
      <c r="AM17" s="257">
        <f t="shared" ref="AM17:AM57" si="13">AF17*AH17</f>
        <v>0</v>
      </c>
      <c r="AN17" s="242">
        <f t="shared" ref="AN17:AN57" si="14">AA17+AG17</f>
        <v>0</v>
      </c>
      <c r="AO17" s="172">
        <f>AN17-($J$63*G17)</f>
        <v>0</v>
      </c>
      <c r="AP17" s="243">
        <f t="shared" ref="AP17:AP57" si="15">AA17+AK17</f>
        <v>0</v>
      </c>
      <c r="AQ17" s="243">
        <f>AP17-($J$63*G17)</f>
        <v>0</v>
      </c>
    </row>
    <row r="18" spans="1:43" x14ac:dyDescent="0.25">
      <c r="A18" s="248"/>
      <c r="B18" s="249"/>
      <c r="C18" s="250"/>
      <c r="D18" s="250"/>
      <c r="E18" s="250"/>
      <c r="F18" s="260" t="s">
        <v>478</v>
      </c>
      <c r="G18" s="252">
        <v>0</v>
      </c>
      <c r="H18" s="249"/>
      <c r="I18" s="256"/>
      <c r="J18" s="254"/>
      <c r="K18" s="254"/>
      <c r="L18" s="253"/>
      <c r="M18" s="253"/>
      <c r="N18" s="253"/>
      <c r="O18" s="253"/>
      <c r="P18" s="253"/>
      <c r="Q18" s="253"/>
      <c r="R18" s="255"/>
      <c r="S18" s="255"/>
      <c r="T18" s="256"/>
      <c r="U18" s="261"/>
      <c r="V18" s="255"/>
      <c r="W18" s="255"/>
      <c r="X18" s="255"/>
      <c r="Y18" s="255"/>
      <c r="Z18" s="255"/>
      <c r="AA18" s="254"/>
      <c r="AB18" s="253"/>
      <c r="AC18" s="253"/>
      <c r="AD18" s="253"/>
      <c r="AE18" s="255"/>
      <c r="AF18" s="255"/>
      <c r="AG18" s="257"/>
      <c r="AH18" s="258"/>
      <c r="AI18" s="259"/>
      <c r="AJ18" s="259"/>
      <c r="AK18" s="257"/>
      <c r="AL18" s="257"/>
      <c r="AM18" s="257"/>
      <c r="AN18" s="242"/>
      <c r="AO18" s="172">
        <f>AN18-($J$63*G18)</f>
        <v>0</v>
      </c>
      <c r="AP18" s="243"/>
      <c r="AQ18" s="243">
        <f>AP18-($J$63*G18)</f>
        <v>0</v>
      </c>
    </row>
    <row r="19" spans="1:43" x14ac:dyDescent="0.25">
      <c r="A19" s="248"/>
      <c r="B19" s="249"/>
      <c r="C19" s="250"/>
      <c r="D19" s="250"/>
      <c r="E19" s="250"/>
      <c r="F19" s="262" t="s">
        <v>479</v>
      </c>
      <c r="G19" s="263"/>
      <c r="H19" s="264">
        <f>SUM(G17:G18)</f>
        <v>0</v>
      </c>
      <c r="I19" s="265"/>
      <c r="J19" s="254"/>
      <c r="K19" s="254"/>
      <c r="L19" s="253"/>
      <c r="M19" s="253"/>
      <c r="N19" s="253"/>
      <c r="O19" s="253"/>
      <c r="P19" s="253"/>
      <c r="Q19" s="253"/>
      <c r="R19" s="255"/>
      <c r="S19" s="255"/>
      <c r="T19" s="256"/>
      <c r="U19" s="261"/>
      <c r="V19" s="255"/>
      <c r="W19" s="255"/>
      <c r="X19" s="255"/>
      <c r="Y19" s="255"/>
      <c r="Z19" s="255"/>
      <c r="AA19" s="254"/>
      <c r="AB19" s="253"/>
      <c r="AC19" s="253"/>
      <c r="AD19" s="253"/>
      <c r="AE19" s="255"/>
      <c r="AF19" s="255"/>
      <c r="AG19" s="257"/>
      <c r="AH19" s="258"/>
      <c r="AI19" s="259"/>
      <c r="AJ19" s="259"/>
      <c r="AK19" s="257"/>
      <c r="AL19" s="257"/>
      <c r="AM19" s="257"/>
      <c r="AN19" s="242"/>
      <c r="AO19" s="172">
        <f>AN19-($J$63*G19)</f>
        <v>0</v>
      </c>
      <c r="AP19" s="243"/>
      <c r="AQ19" s="243">
        <f>AP19-($J$63*G19)</f>
        <v>0</v>
      </c>
    </row>
    <row r="20" spans="1:43" x14ac:dyDescent="0.25">
      <c r="A20" s="248">
        <v>42552</v>
      </c>
      <c r="B20" s="249" t="s">
        <v>481</v>
      </c>
      <c r="C20" s="249" t="s">
        <v>482</v>
      </c>
      <c r="D20" s="249" t="s">
        <v>483</v>
      </c>
      <c r="E20" s="249" t="s">
        <v>484</v>
      </c>
      <c r="F20" s="260"/>
      <c r="G20" s="252">
        <v>20</v>
      </c>
      <c r="H20" s="249"/>
      <c r="I20" s="256"/>
      <c r="J20" s="254">
        <v>24000</v>
      </c>
      <c r="K20" s="254">
        <v>25118.33</v>
      </c>
      <c r="L20" s="276">
        <v>8</v>
      </c>
      <c r="M20" s="276">
        <v>20</v>
      </c>
      <c r="N20" s="276">
        <v>8</v>
      </c>
      <c r="O20" s="276">
        <v>32</v>
      </c>
      <c r="P20" s="277">
        <f>'[1]Tillypronie Sawmill'!G26</f>
        <v>46956.086857142858</v>
      </c>
      <c r="Q20" s="276">
        <f>'[1]Tillypronie Sawmill'!G32</f>
        <v>26296</v>
      </c>
      <c r="R20" s="261">
        <f>N20*$P$3</f>
        <v>44.64</v>
      </c>
      <c r="S20" s="261">
        <f t="shared" si="1"/>
        <v>249.6</v>
      </c>
      <c r="T20" s="278">
        <f t="shared" si="2"/>
        <v>0.36363636363636365</v>
      </c>
      <c r="U20" s="261">
        <f>IF(L20=0,0,T20*$T$3)</f>
        <v>181.81818181818181</v>
      </c>
      <c r="V20" s="261">
        <f t="shared" si="3"/>
        <v>2.9090909090909092</v>
      </c>
      <c r="W20" s="261">
        <f t="shared" si="4"/>
        <v>11.636363636363637</v>
      </c>
      <c r="X20" s="261">
        <f t="shared" si="5"/>
        <v>32.436363636363637</v>
      </c>
      <c r="Y20" s="261">
        <f t="shared" si="6"/>
        <v>181.52727272727273</v>
      </c>
      <c r="Z20" s="261">
        <f t="shared" si="7"/>
        <v>213.96363636363637</v>
      </c>
      <c r="AA20" s="279">
        <f t="shared" si="8"/>
        <v>73942.108675324678</v>
      </c>
      <c r="AB20" s="276">
        <v>2392</v>
      </c>
      <c r="AC20" s="276">
        <v>4</v>
      </c>
      <c r="AD20" s="276">
        <f>AB20*AC20</f>
        <v>9568</v>
      </c>
      <c r="AE20" s="261">
        <f t="shared" ref="AE20:AE57" si="16">AB20*$AE$3</f>
        <v>26670.799999999999</v>
      </c>
      <c r="AF20" s="261">
        <f t="shared" si="9"/>
        <v>149260.79999999999</v>
      </c>
      <c r="AG20" s="280">
        <f>(AE20+AF20)</f>
        <v>175931.59999999998</v>
      </c>
      <c r="AH20" s="281">
        <f>$AE$6</f>
        <v>0.05</v>
      </c>
      <c r="AI20" s="282">
        <f t="shared" si="10"/>
        <v>119.60000000000001</v>
      </c>
      <c r="AJ20" s="282">
        <f t="shared" si="11"/>
        <v>478.40000000000003</v>
      </c>
      <c r="AK20" s="280">
        <f>AG20*AH20</f>
        <v>8796.58</v>
      </c>
      <c r="AL20" s="280">
        <f t="shared" si="12"/>
        <v>1333.54</v>
      </c>
      <c r="AM20" s="280">
        <f t="shared" si="13"/>
        <v>7463.04</v>
      </c>
      <c r="AN20" s="242">
        <f t="shared" si="14"/>
        <v>249873.70867532465</v>
      </c>
      <c r="AO20" s="172">
        <f>AN20-($J$63*G20)</f>
        <v>209568.35153246752</v>
      </c>
      <c r="AP20" s="243">
        <f t="shared" si="15"/>
        <v>82738.68867532468</v>
      </c>
      <c r="AQ20" s="243">
        <f>AP20-($J$63*G20)-440000</f>
        <v>-397566.66846753249</v>
      </c>
    </row>
    <row r="21" spans="1:43" x14ac:dyDescent="0.25">
      <c r="A21" s="248"/>
      <c r="B21" s="249"/>
      <c r="C21" s="249"/>
      <c r="D21" s="249"/>
      <c r="E21" s="249"/>
      <c r="F21" s="260" t="s">
        <v>478</v>
      </c>
      <c r="G21" s="252">
        <v>0</v>
      </c>
      <c r="H21" s="249"/>
      <c r="I21" s="256"/>
      <c r="J21" s="254"/>
      <c r="K21" s="254"/>
      <c r="L21" s="283"/>
      <c r="M21" s="276"/>
      <c r="N21" s="283"/>
      <c r="O21" s="283"/>
      <c r="P21" s="283"/>
      <c r="Q21" s="283"/>
      <c r="R21" s="284"/>
      <c r="S21" s="284"/>
      <c r="T21" s="285"/>
      <c r="U21" s="261"/>
      <c r="V21" s="284"/>
      <c r="W21" s="284"/>
      <c r="X21" s="284"/>
      <c r="Y21" s="284"/>
      <c r="Z21" s="284"/>
      <c r="AA21" s="286"/>
      <c r="AB21" s="276"/>
      <c r="AC21" s="276"/>
      <c r="AD21" s="276"/>
      <c r="AE21" s="261"/>
      <c r="AF21" s="261"/>
      <c r="AG21" s="280"/>
      <c r="AH21" s="281"/>
      <c r="AI21" s="282"/>
      <c r="AJ21" s="282"/>
      <c r="AK21" s="280"/>
      <c r="AL21" s="280"/>
      <c r="AM21" s="280"/>
      <c r="AN21" s="242"/>
      <c r="AO21" s="172">
        <f>AN21-($J$63*G21)</f>
        <v>0</v>
      </c>
      <c r="AP21" s="243"/>
      <c r="AQ21" s="243">
        <f>AP21-($J$63*G21)</f>
        <v>0</v>
      </c>
    </row>
    <row r="22" spans="1:43" x14ac:dyDescent="0.25">
      <c r="A22" s="248"/>
      <c r="B22" s="249"/>
      <c r="C22" s="249"/>
      <c r="D22" s="249"/>
      <c r="E22" s="249"/>
      <c r="F22" s="262" t="s">
        <v>479</v>
      </c>
      <c r="G22" s="263"/>
      <c r="H22" s="264">
        <f>SUM(G20:G21)</f>
        <v>20</v>
      </c>
      <c r="I22" s="265">
        <f>H22/(($J$8-$J$9)/$J$10)</f>
        <v>1.0476190476190477</v>
      </c>
      <c r="J22" s="254"/>
      <c r="K22" s="254"/>
      <c r="L22" s="253"/>
      <c r="M22" s="253"/>
      <c r="N22" s="253"/>
      <c r="O22" s="253"/>
      <c r="P22" s="253"/>
      <c r="Q22" s="253"/>
      <c r="R22" s="255"/>
      <c r="S22" s="255"/>
      <c r="T22" s="256"/>
      <c r="U22" s="261"/>
      <c r="V22" s="255"/>
      <c r="W22" s="255"/>
      <c r="X22" s="255"/>
      <c r="Y22" s="255"/>
      <c r="Z22" s="255"/>
      <c r="AA22" s="254"/>
      <c r="AB22" s="276"/>
      <c r="AC22" s="276"/>
      <c r="AD22" s="276"/>
      <c r="AE22" s="261"/>
      <c r="AF22" s="261"/>
      <c r="AG22" s="280"/>
      <c r="AH22" s="281"/>
      <c r="AI22" s="282"/>
      <c r="AJ22" s="282"/>
      <c r="AK22" s="280"/>
      <c r="AL22" s="280"/>
      <c r="AM22" s="280"/>
      <c r="AN22" s="242"/>
      <c r="AO22" s="172"/>
      <c r="AP22" s="243"/>
      <c r="AQ22" s="243"/>
    </row>
    <row r="23" spans="1:43" x14ac:dyDescent="0.25">
      <c r="A23" s="230">
        <v>42583</v>
      </c>
      <c r="B23" s="266" t="s">
        <v>481</v>
      </c>
      <c r="C23" s="266" t="s">
        <v>482</v>
      </c>
      <c r="D23" s="266" t="s">
        <v>483</v>
      </c>
      <c r="E23" s="266" t="s">
        <v>485</v>
      </c>
      <c r="F23" s="268">
        <v>42601</v>
      </c>
      <c r="G23" s="269">
        <v>15</v>
      </c>
      <c r="H23" s="266"/>
      <c r="I23" s="231"/>
      <c r="J23" s="234">
        <v>24000</v>
      </c>
      <c r="K23" s="234">
        <v>17459.27</v>
      </c>
      <c r="L23" s="271">
        <v>0</v>
      </c>
      <c r="M23" s="271">
        <v>10</v>
      </c>
      <c r="N23" s="271">
        <v>0</v>
      </c>
      <c r="O23" s="271">
        <v>0</v>
      </c>
      <c r="P23" s="271">
        <v>5000</v>
      </c>
      <c r="Q23" s="271">
        <v>0</v>
      </c>
      <c r="R23" s="238">
        <f t="shared" si="0"/>
        <v>0</v>
      </c>
      <c r="S23" s="238">
        <f t="shared" si="1"/>
        <v>0</v>
      </c>
      <c r="T23" s="287">
        <f t="shared" si="2"/>
        <v>0.18181818181818182</v>
      </c>
      <c r="U23" s="238">
        <f>IF(L23=0,0,T23*$T$3)</f>
        <v>0</v>
      </c>
      <c r="V23" s="238">
        <f t="shared" si="3"/>
        <v>0</v>
      </c>
      <c r="W23" s="238">
        <f t="shared" si="4"/>
        <v>0</v>
      </c>
      <c r="X23" s="238">
        <f t="shared" si="5"/>
        <v>0</v>
      </c>
      <c r="Y23" s="238">
        <f t="shared" si="6"/>
        <v>0</v>
      </c>
      <c r="Z23" s="238">
        <f t="shared" si="7"/>
        <v>0</v>
      </c>
      <c r="AA23" s="272">
        <f>P23+Q23+R23+S23+U23+Z23</f>
        <v>5000</v>
      </c>
      <c r="AB23" s="271">
        <v>2392</v>
      </c>
      <c r="AC23" s="271">
        <v>4</v>
      </c>
      <c r="AD23" s="271">
        <f t="shared" ref="AD23:AD57" si="17">AB23*AC23</f>
        <v>9568</v>
      </c>
      <c r="AE23" s="238">
        <f t="shared" si="16"/>
        <v>26670.799999999999</v>
      </c>
      <c r="AF23" s="238">
        <f t="shared" si="9"/>
        <v>149260.79999999999</v>
      </c>
      <c r="AG23" s="288">
        <f t="shared" ref="AG23:AG57" si="18">(AE23+AF23)</f>
        <v>175931.59999999998</v>
      </c>
      <c r="AH23" s="289">
        <f>$AE$6</f>
        <v>0.05</v>
      </c>
      <c r="AI23" s="290">
        <f t="shared" si="10"/>
        <v>119.60000000000001</v>
      </c>
      <c r="AJ23" s="290">
        <f t="shared" si="11"/>
        <v>478.40000000000003</v>
      </c>
      <c r="AK23" s="288">
        <f t="shared" ref="AK23:AK57" si="19">AG23*AH23</f>
        <v>8796.58</v>
      </c>
      <c r="AL23" s="288">
        <f t="shared" si="12"/>
        <v>1333.54</v>
      </c>
      <c r="AM23" s="288">
        <f t="shared" si="13"/>
        <v>7463.04</v>
      </c>
      <c r="AN23" s="242">
        <f t="shared" si="14"/>
        <v>180931.59999999998</v>
      </c>
      <c r="AO23" s="172">
        <f>AN23-($J$63*G23)</f>
        <v>150702.58214285714</v>
      </c>
      <c r="AP23" s="243">
        <f t="shared" si="15"/>
        <v>13796.58</v>
      </c>
      <c r="AQ23" s="243">
        <f>AP23-($J$63*G23)</f>
        <v>-16432.437857142853</v>
      </c>
    </row>
    <row r="24" spans="1:43" x14ac:dyDescent="0.25">
      <c r="A24" s="230"/>
      <c r="B24" s="266" t="s">
        <v>486</v>
      </c>
      <c r="C24" s="266" t="s">
        <v>487</v>
      </c>
      <c r="D24" s="266" t="s">
        <v>488</v>
      </c>
      <c r="E24" s="266" t="s">
        <v>489</v>
      </c>
      <c r="F24" s="268">
        <v>42608</v>
      </c>
      <c r="G24" s="269">
        <v>4</v>
      </c>
      <c r="H24" s="266"/>
      <c r="I24" s="231"/>
      <c r="J24" s="234"/>
      <c r="K24" s="234"/>
      <c r="L24" s="271">
        <v>25</v>
      </c>
      <c r="M24" s="271">
        <v>10</v>
      </c>
      <c r="N24" s="271">
        <v>50</v>
      </c>
      <c r="O24" s="271">
        <v>300</v>
      </c>
      <c r="P24" s="271">
        <f>[1]Kinniard!G26</f>
        <v>5402</v>
      </c>
      <c r="Q24" s="271">
        <f>[1]Kinniard!G32</f>
        <v>5370</v>
      </c>
      <c r="R24" s="238">
        <f>N24*$P$3</f>
        <v>279</v>
      </c>
      <c r="S24" s="238">
        <f>O24*$P$4</f>
        <v>2340</v>
      </c>
      <c r="T24" s="287">
        <f t="shared" si="2"/>
        <v>0.18181818181818182</v>
      </c>
      <c r="U24" s="238">
        <f t="shared" ref="U24:U25" si="20">IF(L24=0,0,T24*$T$3)</f>
        <v>90.909090909090907</v>
      </c>
      <c r="V24" s="238">
        <f t="shared" si="3"/>
        <v>4.5454545454545459</v>
      </c>
      <c r="W24" s="238">
        <f t="shared" si="4"/>
        <v>18.181818181818183</v>
      </c>
      <c r="X24" s="238">
        <f t="shared" si="5"/>
        <v>50.68181818181818</v>
      </c>
      <c r="Y24" s="238">
        <f t="shared" si="6"/>
        <v>283.63636363636368</v>
      </c>
      <c r="Z24" s="238">
        <f t="shared" si="7"/>
        <v>334.31818181818187</v>
      </c>
      <c r="AA24" s="270">
        <f t="shared" si="8"/>
        <v>13816.227272727272</v>
      </c>
      <c r="AB24" s="271">
        <v>120</v>
      </c>
      <c r="AC24" s="271">
        <v>4</v>
      </c>
      <c r="AD24" s="271">
        <f t="shared" si="17"/>
        <v>480</v>
      </c>
      <c r="AE24" s="238">
        <f t="shared" si="16"/>
        <v>1338</v>
      </c>
      <c r="AF24" s="238">
        <f t="shared" si="9"/>
        <v>7488</v>
      </c>
      <c r="AG24" s="288">
        <f t="shared" si="18"/>
        <v>8826</v>
      </c>
      <c r="AH24" s="240">
        <f>$AE$6</f>
        <v>0.05</v>
      </c>
      <c r="AI24" s="290">
        <f t="shared" si="10"/>
        <v>6</v>
      </c>
      <c r="AJ24" s="290">
        <f t="shared" si="11"/>
        <v>24</v>
      </c>
      <c r="AK24" s="288">
        <f t="shared" si="19"/>
        <v>441.3</v>
      </c>
      <c r="AL24" s="288">
        <f t="shared" si="12"/>
        <v>66.900000000000006</v>
      </c>
      <c r="AM24" s="288">
        <f t="shared" si="13"/>
        <v>374.40000000000003</v>
      </c>
      <c r="AN24" s="242">
        <f t="shared" si="14"/>
        <v>22642.227272727272</v>
      </c>
      <c r="AO24" s="172">
        <f>AN24-($J$63*G24)</f>
        <v>14581.155844155845</v>
      </c>
      <c r="AP24" s="243">
        <f t="shared" si="15"/>
        <v>14257.527272727271</v>
      </c>
      <c r="AQ24" s="243">
        <f>AP24-($J$63*G24)</f>
        <v>6196.4558441558429</v>
      </c>
    </row>
    <row r="25" spans="1:43" x14ac:dyDescent="0.25">
      <c r="A25" s="230"/>
      <c r="B25" s="266" t="s">
        <v>387</v>
      </c>
      <c r="C25" s="266" t="s">
        <v>490</v>
      </c>
      <c r="D25" s="266" t="s">
        <v>490</v>
      </c>
      <c r="E25" s="266" t="s">
        <v>402</v>
      </c>
      <c r="F25" s="268">
        <v>42613</v>
      </c>
      <c r="G25" s="269">
        <v>2</v>
      </c>
      <c r="H25" s="266"/>
      <c r="I25" s="237"/>
      <c r="J25" s="234"/>
      <c r="K25" s="234"/>
      <c r="L25" s="231">
        <v>115</v>
      </c>
      <c r="M25" s="231">
        <v>3</v>
      </c>
      <c r="N25" s="231">
        <v>230</v>
      </c>
      <c r="O25" s="231">
        <f>N25*5</f>
        <v>1150</v>
      </c>
      <c r="P25" s="231">
        <f>[1]Achnaba!G26+[1]Achnaba!R33</f>
        <v>16845</v>
      </c>
      <c r="Q25" s="231">
        <f>[1]Achnaba!G32</f>
        <v>2440</v>
      </c>
      <c r="R25" s="236">
        <f t="shared" si="0"/>
        <v>1283.4000000000001</v>
      </c>
      <c r="S25" s="236">
        <f t="shared" si="1"/>
        <v>8970</v>
      </c>
      <c r="T25" s="237">
        <f t="shared" si="2"/>
        <v>5.4545454545454543E-2</v>
      </c>
      <c r="U25" s="238">
        <f t="shared" si="20"/>
        <v>27.27272727272727</v>
      </c>
      <c r="V25" s="236">
        <f t="shared" si="3"/>
        <v>6.2727272727272725</v>
      </c>
      <c r="W25" s="236">
        <f t="shared" si="4"/>
        <v>25.09090909090909</v>
      </c>
      <c r="X25" s="236">
        <f t="shared" si="5"/>
        <v>69.940909090909088</v>
      </c>
      <c r="Y25" s="236">
        <f t="shared" si="6"/>
        <v>391.41818181818178</v>
      </c>
      <c r="Z25" s="236">
        <f t="shared" si="7"/>
        <v>461.35909090909087</v>
      </c>
      <c r="AA25" s="234">
        <f t="shared" si="8"/>
        <v>30027.031818181822</v>
      </c>
      <c r="AB25" s="231">
        <v>6728</v>
      </c>
      <c r="AC25" s="231">
        <v>5</v>
      </c>
      <c r="AD25" s="231">
        <f t="shared" si="17"/>
        <v>33640</v>
      </c>
      <c r="AE25" s="236">
        <f t="shared" si="16"/>
        <v>75017.2</v>
      </c>
      <c r="AF25" s="236">
        <f t="shared" si="9"/>
        <v>524784</v>
      </c>
      <c r="AG25" s="239">
        <f>(AE25+AF25)</f>
        <v>599801.19999999995</v>
      </c>
      <c r="AH25" s="240">
        <f>$AE$6</f>
        <v>0.05</v>
      </c>
      <c r="AI25" s="241">
        <f t="shared" si="10"/>
        <v>336.40000000000003</v>
      </c>
      <c r="AJ25" s="241">
        <f t="shared" si="11"/>
        <v>1682</v>
      </c>
      <c r="AK25" s="239">
        <f t="shared" si="19"/>
        <v>29990.059999999998</v>
      </c>
      <c r="AL25" s="239">
        <f t="shared" si="12"/>
        <v>3750.86</v>
      </c>
      <c r="AM25" s="239">
        <f t="shared" si="13"/>
        <v>26239.200000000001</v>
      </c>
      <c r="AN25" s="242">
        <f t="shared" si="14"/>
        <v>629828.23181818181</v>
      </c>
      <c r="AO25" s="172">
        <f>AN25-($J$63*G25)</f>
        <v>625797.69610389613</v>
      </c>
      <c r="AP25" s="243">
        <f t="shared" si="15"/>
        <v>60017.09181818182</v>
      </c>
      <c r="AQ25" s="243">
        <f>AP25-($J$63*G25)</f>
        <v>55986.556103896102</v>
      </c>
    </row>
    <row r="26" spans="1:43" x14ac:dyDescent="0.25">
      <c r="A26" s="230"/>
      <c r="B26" s="266"/>
      <c r="C26" s="266"/>
      <c r="D26" s="266"/>
      <c r="E26" s="266"/>
      <c r="F26" s="268" t="s">
        <v>478</v>
      </c>
      <c r="G26" s="269">
        <v>0</v>
      </c>
      <c r="H26" s="266"/>
      <c r="I26" s="237"/>
      <c r="J26" s="234"/>
      <c r="K26" s="234"/>
      <c r="L26" s="231"/>
      <c r="M26" s="231"/>
      <c r="N26" s="231"/>
      <c r="O26" s="231"/>
      <c r="P26" s="231"/>
      <c r="Q26" s="231"/>
      <c r="R26" s="236"/>
      <c r="S26" s="236"/>
      <c r="T26" s="237"/>
      <c r="U26" s="238"/>
      <c r="V26" s="236"/>
      <c r="W26" s="236"/>
      <c r="X26" s="236"/>
      <c r="Y26" s="236"/>
      <c r="Z26" s="236"/>
      <c r="AA26" s="234"/>
      <c r="AB26" s="231"/>
      <c r="AC26" s="231"/>
      <c r="AD26" s="231"/>
      <c r="AE26" s="236"/>
      <c r="AF26" s="236"/>
      <c r="AG26" s="239"/>
      <c r="AH26" s="240"/>
      <c r="AI26" s="241"/>
      <c r="AJ26" s="241"/>
      <c r="AK26" s="239"/>
      <c r="AL26" s="239"/>
      <c r="AM26" s="239"/>
      <c r="AN26" s="242"/>
      <c r="AO26" s="172">
        <f>AN26-($J$63*G26)</f>
        <v>0</v>
      </c>
      <c r="AP26" s="243"/>
      <c r="AQ26" s="243">
        <f>AP26-($J$63*G26)</f>
        <v>0</v>
      </c>
    </row>
    <row r="27" spans="1:43" x14ac:dyDescent="0.25">
      <c r="A27" s="230"/>
      <c r="B27" s="267"/>
      <c r="C27" s="267"/>
      <c r="D27" s="267"/>
      <c r="E27" s="267"/>
      <c r="F27" s="273" t="s">
        <v>479</v>
      </c>
      <c r="G27" s="274"/>
      <c r="H27" s="275">
        <f>SUM(G23:G26)</f>
        <v>21</v>
      </c>
      <c r="I27" s="291">
        <f>H27/(($J$8-$J$9)/$J$10)</f>
        <v>1.1000000000000001</v>
      </c>
      <c r="J27" s="234"/>
      <c r="K27" s="234"/>
      <c r="L27" s="231"/>
      <c r="M27" s="231"/>
      <c r="N27" s="231"/>
      <c r="O27" s="231"/>
      <c r="P27" s="231"/>
      <c r="Q27" s="231"/>
      <c r="R27" s="236"/>
      <c r="S27" s="236"/>
      <c r="T27" s="237"/>
      <c r="U27" s="238"/>
      <c r="V27" s="236"/>
      <c r="W27" s="236"/>
      <c r="X27" s="236"/>
      <c r="Y27" s="236"/>
      <c r="Z27" s="236"/>
      <c r="AA27" s="234"/>
      <c r="AB27" s="231"/>
      <c r="AC27" s="231"/>
      <c r="AD27" s="231"/>
      <c r="AE27" s="236"/>
      <c r="AF27" s="236"/>
      <c r="AG27" s="239"/>
      <c r="AH27" s="240"/>
      <c r="AI27" s="241"/>
      <c r="AJ27" s="241"/>
      <c r="AK27" s="239"/>
      <c r="AL27" s="239"/>
      <c r="AM27" s="239"/>
      <c r="AN27" s="242"/>
      <c r="AO27" s="172"/>
      <c r="AP27" s="243"/>
      <c r="AQ27" s="243"/>
    </row>
    <row r="28" spans="1:43" x14ac:dyDescent="0.25">
      <c r="A28" s="248">
        <v>42614</v>
      </c>
      <c r="B28" s="249" t="s">
        <v>491</v>
      </c>
      <c r="C28" s="249" t="s">
        <v>492</v>
      </c>
      <c r="D28" s="249" t="s">
        <v>493</v>
      </c>
      <c r="E28" s="249" t="s">
        <v>391</v>
      </c>
      <c r="F28" s="260">
        <v>42643</v>
      </c>
      <c r="G28" s="252">
        <v>6</v>
      </c>
      <c r="H28" s="249"/>
      <c r="I28" s="256"/>
      <c r="J28" s="254">
        <v>24000</v>
      </c>
      <c r="K28" s="254">
        <v>4076.39</v>
      </c>
      <c r="L28" s="253">
        <v>0</v>
      </c>
      <c r="M28" s="253">
        <v>10</v>
      </c>
      <c r="N28" s="253">
        <v>0</v>
      </c>
      <c r="O28" s="253">
        <v>0</v>
      </c>
      <c r="P28" s="253">
        <v>0</v>
      </c>
      <c r="Q28" s="253">
        <v>0</v>
      </c>
      <c r="R28" s="255">
        <f t="shared" si="0"/>
        <v>0</v>
      </c>
      <c r="S28" s="255">
        <f t="shared" si="1"/>
        <v>0</v>
      </c>
      <c r="T28" s="256">
        <v>0</v>
      </c>
      <c r="U28" s="255">
        <f t="shared" ref="U28" si="21">IF(L28=0,0,T28*$T$3)</f>
        <v>0</v>
      </c>
      <c r="V28" s="255">
        <f t="shared" si="3"/>
        <v>0</v>
      </c>
      <c r="W28" s="255">
        <f t="shared" si="4"/>
        <v>0</v>
      </c>
      <c r="X28" s="255">
        <f t="shared" si="5"/>
        <v>0</v>
      </c>
      <c r="Y28" s="255">
        <f t="shared" si="6"/>
        <v>0</v>
      </c>
      <c r="Z28" s="255">
        <f t="shared" si="7"/>
        <v>0</v>
      </c>
      <c r="AA28" s="254">
        <f t="shared" si="8"/>
        <v>0</v>
      </c>
      <c r="AB28" s="253">
        <v>5091</v>
      </c>
      <c r="AC28" s="253">
        <v>4</v>
      </c>
      <c r="AD28" s="253">
        <f t="shared" si="17"/>
        <v>20364</v>
      </c>
      <c r="AE28" s="255">
        <f>AB28*$AE$3</f>
        <v>56764.65</v>
      </c>
      <c r="AF28" s="255">
        <f t="shared" si="9"/>
        <v>317678.39999999997</v>
      </c>
      <c r="AG28" s="257">
        <f>(AE28+AF28)</f>
        <v>374443.05</v>
      </c>
      <c r="AH28" s="258">
        <f>$AE$6</f>
        <v>0.05</v>
      </c>
      <c r="AI28" s="259">
        <f>AB28*AH28</f>
        <v>254.55</v>
      </c>
      <c r="AJ28" s="259">
        <f>AD28*AH28</f>
        <v>1018.2</v>
      </c>
      <c r="AK28" s="257">
        <f t="shared" si="19"/>
        <v>18722.1525</v>
      </c>
      <c r="AL28" s="257">
        <f t="shared" si="12"/>
        <v>2838.2325000000001</v>
      </c>
      <c r="AM28" s="257">
        <f t="shared" si="13"/>
        <v>15883.919999999998</v>
      </c>
      <c r="AN28" s="242">
        <f t="shared" si="14"/>
        <v>374443.05</v>
      </c>
      <c r="AO28" s="172">
        <f>AN28-($J$63*G28)</f>
        <v>362351.44285714283</v>
      </c>
      <c r="AP28" s="243">
        <f>AA28+AK28</f>
        <v>18722.1525</v>
      </c>
      <c r="AQ28" s="243">
        <f>AP28-($J$63*G28)</f>
        <v>6630.545357142857</v>
      </c>
    </row>
    <row r="29" spans="1:43" x14ac:dyDescent="0.25">
      <c r="A29" s="248"/>
      <c r="B29" s="249"/>
      <c r="C29" s="249"/>
      <c r="D29" s="249"/>
      <c r="E29" s="249"/>
      <c r="F29" s="260" t="s">
        <v>478</v>
      </c>
      <c r="G29" s="252">
        <v>2</v>
      </c>
      <c r="H29" s="249"/>
      <c r="I29" s="256"/>
      <c r="J29" s="254"/>
      <c r="K29" s="254"/>
      <c r="L29" s="253"/>
      <c r="M29" s="253"/>
      <c r="N29" s="253"/>
      <c r="O29" s="253"/>
      <c r="P29" s="253"/>
      <c r="Q29" s="253"/>
      <c r="R29" s="255"/>
      <c r="S29" s="255"/>
      <c r="T29" s="256"/>
      <c r="U29" s="261"/>
      <c r="V29" s="255"/>
      <c r="W29" s="255"/>
      <c r="X29" s="255"/>
      <c r="Y29" s="255"/>
      <c r="Z29" s="255"/>
      <c r="AA29" s="254"/>
      <c r="AB29" s="253"/>
      <c r="AC29" s="253"/>
      <c r="AD29" s="253"/>
      <c r="AE29" s="255"/>
      <c r="AF29" s="255"/>
      <c r="AG29" s="257"/>
      <c r="AH29" s="258"/>
      <c r="AI29" s="259"/>
      <c r="AJ29" s="259"/>
      <c r="AK29" s="257"/>
      <c r="AL29" s="257"/>
      <c r="AM29" s="257"/>
      <c r="AN29" s="242"/>
      <c r="AO29" s="172">
        <f>AN29-($J$63*G29)</f>
        <v>-4030.5357142857142</v>
      </c>
      <c r="AP29" s="243"/>
      <c r="AQ29" s="243">
        <f>AP29-($J$63*G29)</f>
        <v>-4030.5357142857142</v>
      </c>
    </row>
    <row r="30" spans="1:43" x14ac:dyDescent="0.25">
      <c r="A30" s="248"/>
      <c r="B30" s="253"/>
      <c r="C30" s="253"/>
      <c r="D30" s="253"/>
      <c r="E30" s="253"/>
      <c r="F30" s="262" t="s">
        <v>479</v>
      </c>
      <c r="G30" s="263"/>
      <c r="H30" s="264">
        <f>SUM(G28:G29)</f>
        <v>8</v>
      </c>
      <c r="I30" s="292">
        <f>H30/(($J$8-$J$9)/$J$10)</f>
        <v>0.41904761904761906</v>
      </c>
      <c r="J30" s="286"/>
      <c r="K30" s="254"/>
      <c r="L30" s="253"/>
      <c r="M30" s="253"/>
      <c r="N30" s="253"/>
      <c r="O30" s="253"/>
      <c r="P30" s="253"/>
      <c r="Q30" s="253"/>
      <c r="R30" s="255"/>
      <c r="S30" s="255"/>
      <c r="T30" s="256"/>
      <c r="U30" s="261"/>
      <c r="V30" s="255"/>
      <c r="W30" s="255"/>
      <c r="X30" s="255"/>
      <c r="Y30" s="255"/>
      <c r="Z30" s="255"/>
      <c r="AA30" s="254"/>
      <c r="AB30" s="253"/>
      <c r="AC30" s="253"/>
      <c r="AD30" s="253"/>
      <c r="AE30" s="255"/>
      <c r="AF30" s="255"/>
      <c r="AG30" s="257"/>
      <c r="AH30" s="258"/>
      <c r="AI30" s="259"/>
      <c r="AJ30" s="259"/>
      <c r="AK30" s="257"/>
      <c r="AL30" s="257"/>
      <c r="AM30" s="257"/>
      <c r="AN30" s="242"/>
      <c r="AO30" s="172"/>
      <c r="AP30" s="243"/>
      <c r="AQ30" s="243"/>
    </row>
    <row r="31" spans="1:43" x14ac:dyDescent="0.25">
      <c r="A31" s="230">
        <v>42644</v>
      </c>
      <c r="B31" s="266" t="s">
        <v>387</v>
      </c>
      <c r="C31" s="266" t="s">
        <v>494</v>
      </c>
      <c r="D31" s="266" t="s">
        <v>495</v>
      </c>
      <c r="E31" s="266" t="s">
        <v>402</v>
      </c>
      <c r="F31" s="268">
        <v>42653</v>
      </c>
      <c r="G31" s="269">
        <v>5</v>
      </c>
      <c r="H31" s="266"/>
      <c r="I31" s="266"/>
      <c r="J31" s="234">
        <v>24000</v>
      </c>
      <c r="K31" s="234">
        <v>16436.36</v>
      </c>
      <c r="L31" s="271">
        <v>30</v>
      </c>
      <c r="M31" s="271">
        <v>8</v>
      </c>
      <c r="N31" s="271">
        <v>60</v>
      </c>
      <c r="O31" s="271">
        <v>240</v>
      </c>
      <c r="P31" s="293">
        <f>'[1]Cnochan a Chorra'!G26</f>
        <v>71100</v>
      </c>
      <c r="Q31" s="271">
        <f>'[1]Cnochan a Chorra'!G32</f>
        <v>11560</v>
      </c>
      <c r="R31" s="236">
        <f t="shared" si="0"/>
        <v>334.8</v>
      </c>
      <c r="S31" s="236">
        <f t="shared" si="1"/>
        <v>1872</v>
      </c>
      <c r="T31" s="237">
        <f t="shared" si="2"/>
        <v>0.14545454545454545</v>
      </c>
      <c r="U31" s="238">
        <f t="shared" ref="U31:U32" si="22">IF(L31=0,0,T31*$T$3)</f>
        <v>72.72727272727272</v>
      </c>
      <c r="V31" s="236">
        <f t="shared" si="3"/>
        <v>4.3636363636363633</v>
      </c>
      <c r="W31" s="236">
        <f t="shared" si="4"/>
        <v>17.454545454545453</v>
      </c>
      <c r="X31" s="236">
        <f t="shared" si="5"/>
        <v>48.654545454545449</v>
      </c>
      <c r="Y31" s="236">
        <f t="shared" si="6"/>
        <v>272.29090909090905</v>
      </c>
      <c r="Z31" s="236">
        <f t="shared" si="7"/>
        <v>320.94545454545448</v>
      </c>
      <c r="AA31" s="234">
        <f t="shared" si="8"/>
        <v>85260.472727272732</v>
      </c>
      <c r="AB31" s="231">
        <v>0</v>
      </c>
      <c r="AC31" s="231">
        <v>0</v>
      </c>
      <c r="AD31" s="231">
        <f t="shared" si="17"/>
        <v>0</v>
      </c>
      <c r="AE31" s="236">
        <f t="shared" si="16"/>
        <v>0</v>
      </c>
      <c r="AF31" s="236">
        <f t="shared" si="9"/>
        <v>0</v>
      </c>
      <c r="AG31" s="239">
        <f t="shared" si="18"/>
        <v>0</v>
      </c>
      <c r="AH31" s="240">
        <f>$AE$6</f>
        <v>0.05</v>
      </c>
      <c r="AI31" s="241">
        <f t="shared" si="10"/>
        <v>0</v>
      </c>
      <c r="AJ31" s="241">
        <f t="shared" si="11"/>
        <v>0</v>
      </c>
      <c r="AK31" s="239">
        <f t="shared" si="19"/>
        <v>0</v>
      </c>
      <c r="AL31" s="239">
        <f t="shared" si="12"/>
        <v>0</v>
      </c>
      <c r="AM31" s="239">
        <f t="shared" si="13"/>
        <v>0</v>
      </c>
      <c r="AN31" s="242">
        <f t="shared" si="14"/>
        <v>85260.472727272732</v>
      </c>
      <c r="AO31" s="172">
        <f>AN31-($J$63*G31)</f>
        <v>75184.133441558442</v>
      </c>
      <c r="AP31" s="243">
        <f t="shared" si="15"/>
        <v>85260.472727272732</v>
      </c>
      <c r="AQ31" s="243">
        <f>AP31-($J$63*G31)</f>
        <v>75184.133441558442</v>
      </c>
    </row>
    <row r="32" spans="1:43" x14ac:dyDescent="0.25">
      <c r="A32" s="230"/>
      <c r="B32" s="266" t="s">
        <v>387</v>
      </c>
      <c r="C32" s="266" t="s">
        <v>496</v>
      </c>
      <c r="D32" s="266" t="s">
        <v>497</v>
      </c>
      <c r="E32" s="266" t="s">
        <v>498</v>
      </c>
      <c r="F32" s="268">
        <v>42669</v>
      </c>
      <c r="G32" s="269">
        <v>8</v>
      </c>
      <c r="H32" s="266"/>
      <c r="I32" s="237"/>
      <c r="J32" s="234"/>
      <c r="K32" s="234"/>
      <c r="L32" s="271">
        <v>122</v>
      </c>
      <c r="M32" s="271">
        <v>8</v>
      </c>
      <c r="N32" s="271">
        <v>244</v>
      </c>
      <c r="O32" s="271">
        <v>984</v>
      </c>
      <c r="P32" s="293">
        <f>'[1]Kyles View'!G26+'[1]Kyles View'!R33</f>
        <v>33557.933714285711</v>
      </c>
      <c r="Q32" s="271">
        <f>'[1]Kyles View'!G32</f>
        <v>7376</v>
      </c>
      <c r="R32" s="236">
        <f>N32*$P$3</f>
        <v>1361.52</v>
      </c>
      <c r="S32" s="236">
        <f>O32*$P$4</f>
        <v>7675.2</v>
      </c>
      <c r="T32" s="237">
        <f t="shared" si="2"/>
        <v>0.14545454545454545</v>
      </c>
      <c r="U32" s="238">
        <f t="shared" si="22"/>
        <v>72.72727272727272</v>
      </c>
      <c r="V32" s="236">
        <f t="shared" si="3"/>
        <v>17.745454545454546</v>
      </c>
      <c r="W32" s="236">
        <f t="shared" si="4"/>
        <v>70.981818181818184</v>
      </c>
      <c r="X32" s="236">
        <f t="shared" si="5"/>
        <v>197.86181818181817</v>
      </c>
      <c r="Y32" s="236">
        <f t="shared" si="6"/>
        <v>1107.3163636363636</v>
      </c>
      <c r="Z32" s="236">
        <f t="shared" si="7"/>
        <v>1305.1781818181817</v>
      </c>
      <c r="AA32" s="234">
        <f t="shared" si="8"/>
        <v>51348.559168831162</v>
      </c>
      <c r="AB32" s="231">
        <v>0</v>
      </c>
      <c r="AC32" s="231">
        <v>0</v>
      </c>
      <c r="AD32" s="231">
        <v>0</v>
      </c>
      <c r="AE32" s="236">
        <f t="shared" si="16"/>
        <v>0</v>
      </c>
      <c r="AF32" s="236">
        <f t="shared" si="9"/>
        <v>0</v>
      </c>
      <c r="AG32" s="239">
        <f t="shared" si="18"/>
        <v>0</v>
      </c>
      <c r="AH32" s="240">
        <f>$AE$6</f>
        <v>0.05</v>
      </c>
      <c r="AI32" s="241">
        <f t="shared" si="10"/>
        <v>0</v>
      </c>
      <c r="AJ32" s="241">
        <f t="shared" si="11"/>
        <v>0</v>
      </c>
      <c r="AK32" s="239">
        <f t="shared" si="19"/>
        <v>0</v>
      </c>
      <c r="AL32" s="239">
        <f t="shared" si="12"/>
        <v>0</v>
      </c>
      <c r="AM32" s="239">
        <f t="shared" si="13"/>
        <v>0</v>
      </c>
      <c r="AN32" s="242">
        <f t="shared" si="14"/>
        <v>51348.559168831162</v>
      </c>
      <c r="AO32" s="172">
        <f>AN32-($J$63*G32)</f>
        <v>35226.416311688306</v>
      </c>
      <c r="AP32" s="243">
        <f t="shared" si="15"/>
        <v>51348.559168831162</v>
      </c>
      <c r="AQ32" s="243">
        <f>AP32-($J$63*G32)</f>
        <v>35226.416311688306</v>
      </c>
    </row>
    <row r="33" spans="1:43" x14ac:dyDescent="0.25">
      <c r="A33" s="230"/>
      <c r="B33" s="266"/>
      <c r="C33" s="266"/>
      <c r="D33" s="266"/>
      <c r="E33" s="266"/>
      <c r="F33" s="268" t="s">
        <v>478</v>
      </c>
      <c r="G33" s="269">
        <v>4</v>
      </c>
      <c r="H33" s="266"/>
      <c r="I33" s="237"/>
      <c r="J33" s="234"/>
      <c r="K33" s="234"/>
      <c r="L33" s="271"/>
      <c r="M33" s="271"/>
      <c r="N33" s="271"/>
      <c r="O33" s="271"/>
      <c r="P33" s="293"/>
      <c r="Q33" s="271"/>
      <c r="R33" s="236"/>
      <c r="S33" s="236"/>
      <c r="T33" s="237"/>
      <c r="U33" s="238"/>
      <c r="V33" s="236"/>
      <c r="W33" s="236"/>
      <c r="X33" s="236"/>
      <c r="Y33" s="236"/>
      <c r="Z33" s="236"/>
      <c r="AA33" s="234"/>
      <c r="AB33" s="231"/>
      <c r="AC33" s="231"/>
      <c r="AD33" s="231"/>
      <c r="AE33" s="236"/>
      <c r="AF33" s="236"/>
      <c r="AG33" s="239"/>
      <c r="AH33" s="240"/>
      <c r="AI33" s="241"/>
      <c r="AJ33" s="241"/>
      <c r="AK33" s="239"/>
      <c r="AL33" s="239"/>
      <c r="AM33" s="239"/>
      <c r="AN33" s="242"/>
      <c r="AO33" s="172">
        <f>AN33-($J$63*G33)</f>
        <v>-8061.0714285714284</v>
      </c>
      <c r="AP33" s="243"/>
      <c r="AQ33" s="243">
        <f>AP33-($J$63*G33)</f>
        <v>-8061.0714285714284</v>
      </c>
    </row>
    <row r="34" spans="1:43" x14ac:dyDescent="0.25">
      <c r="A34" s="230"/>
      <c r="B34" s="266"/>
      <c r="C34" s="266"/>
      <c r="D34" s="266"/>
      <c r="E34" s="266"/>
      <c r="F34" s="273" t="s">
        <v>479</v>
      </c>
      <c r="G34" s="274"/>
      <c r="H34" s="275">
        <f>SUM(G31:G33)</f>
        <v>17</v>
      </c>
      <c r="I34" s="291">
        <f>H34/(($J$8-$J$9)/$J$10)</f>
        <v>0.89047619047619053</v>
      </c>
      <c r="J34" s="234"/>
      <c r="K34" s="234"/>
      <c r="L34" s="231"/>
      <c r="M34" s="231"/>
      <c r="N34" s="231"/>
      <c r="O34" s="231"/>
      <c r="P34" s="231"/>
      <c r="Q34" s="231"/>
      <c r="R34" s="236"/>
      <c r="S34" s="236"/>
      <c r="T34" s="237"/>
      <c r="U34" s="238"/>
      <c r="V34" s="236"/>
      <c r="W34" s="236"/>
      <c r="X34" s="236"/>
      <c r="Y34" s="236"/>
      <c r="Z34" s="236"/>
      <c r="AA34" s="234"/>
      <c r="AB34" s="231"/>
      <c r="AC34" s="231"/>
      <c r="AD34" s="231"/>
      <c r="AE34" s="236"/>
      <c r="AF34" s="236"/>
      <c r="AG34" s="239"/>
      <c r="AH34" s="240"/>
      <c r="AI34" s="241"/>
      <c r="AJ34" s="241"/>
      <c r="AK34" s="239"/>
      <c r="AL34" s="239"/>
      <c r="AM34" s="239"/>
      <c r="AN34" s="242"/>
      <c r="AO34" s="172"/>
      <c r="AP34" s="243"/>
      <c r="AQ34" s="243"/>
    </row>
    <row r="35" spans="1:43" x14ac:dyDescent="0.25">
      <c r="A35" s="248">
        <v>42675</v>
      </c>
      <c r="B35" s="249" t="s">
        <v>387</v>
      </c>
      <c r="C35" s="249" t="s">
        <v>499</v>
      </c>
      <c r="D35" s="249" t="s">
        <v>500</v>
      </c>
      <c r="E35" s="249" t="s">
        <v>501</v>
      </c>
      <c r="F35" s="260">
        <v>42689</v>
      </c>
      <c r="G35" s="252">
        <v>12</v>
      </c>
      <c r="H35" s="249"/>
      <c r="I35" s="249"/>
      <c r="J35" s="254">
        <v>24000</v>
      </c>
      <c r="K35" s="279">
        <v>5711.97</v>
      </c>
      <c r="L35" s="253">
        <v>513</v>
      </c>
      <c r="M35" s="253">
        <v>10</v>
      </c>
      <c r="N35" s="253">
        <v>1026</v>
      </c>
      <c r="O35" s="253">
        <v>4104</v>
      </c>
      <c r="P35" s="294">
        <f>'[1]Hells Glen'!G26</f>
        <v>59268.571428571428</v>
      </c>
      <c r="Q35" s="253">
        <f>'[1]Hells Glen'!G32</f>
        <v>9476</v>
      </c>
      <c r="R35" s="255">
        <f t="shared" si="0"/>
        <v>5725.08</v>
      </c>
      <c r="S35" s="255">
        <f t="shared" si="1"/>
        <v>32011.200000000001</v>
      </c>
      <c r="T35" s="256">
        <f>M35/$T$1</f>
        <v>0.18181818181818182</v>
      </c>
      <c r="U35" s="255">
        <f t="shared" ref="U35" si="23">IF(L35=0,0,T35*$T$3)</f>
        <v>90.909090909090907</v>
      </c>
      <c r="V35" s="255">
        <f t="shared" si="3"/>
        <v>93.27272727272728</v>
      </c>
      <c r="W35" s="255">
        <f t="shared" si="4"/>
        <v>373.09090909090912</v>
      </c>
      <c r="X35" s="255">
        <f t="shared" si="5"/>
        <v>1039.9909090909091</v>
      </c>
      <c r="Y35" s="255">
        <f t="shared" si="6"/>
        <v>5820.2181818181825</v>
      </c>
      <c r="Z35" s="255">
        <f t="shared" si="7"/>
        <v>6860.2090909090912</v>
      </c>
      <c r="AA35" s="254">
        <f t="shared" si="8"/>
        <v>113431.9696103896</v>
      </c>
      <c r="AB35" s="253">
        <v>513</v>
      </c>
      <c r="AC35" s="253">
        <v>4</v>
      </c>
      <c r="AD35" s="253">
        <f t="shared" si="17"/>
        <v>2052</v>
      </c>
      <c r="AE35" s="255">
        <f t="shared" si="16"/>
        <v>5719.95</v>
      </c>
      <c r="AF35" s="255">
        <f t="shared" si="9"/>
        <v>32011.200000000001</v>
      </c>
      <c r="AG35" s="257">
        <f t="shared" si="18"/>
        <v>37731.15</v>
      </c>
      <c r="AH35" s="258">
        <f>$AE$6</f>
        <v>0.05</v>
      </c>
      <c r="AI35" s="259">
        <f t="shared" si="10"/>
        <v>25.650000000000002</v>
      </c>
      <c r="AJ35" s="259">
        <f t="shared" si="11"/>
        <v>102.60000000000001</v>
      </c>
      <c r="AK35" s="257">
        <f t="shared" si="19"/>
        <v>1886.5575000000001</v>
      </c>
      <c r="AL35" s="257">
        <f t="shared" si="12"/>
        <v>285.9975</v>
      </c>
      <c r="AM35" s="257">
        <f t="shared" si="13"/>
        <v>1600.5600000000002</v>
      </c>
      <c r="AN35" s="242">
        <f t="shared" si="14"/>
        <v>151163.11961038961</v>
      </c>
      <c r="AO35" s="172">
        <f>AN35-($J$63*G35)</f>
        <v>126979.90532467532</v>
      </c>
      <c r="AP35" s="243">
        <f t="shared" si="15"/>
        <v>115318.52711038959</v>
      </c>
      <c r="AQ35" s="243">
        <f>AP35-($J$63*G35)</f>
        <v>91135.312824675304</v>
      </c>
    </row>
    <row r="36" spans="1:43" x14ac:dyDescent="0.25">
      <c r="A36" s="248"/>
      <c r="B36" s="249"/>
      <c r="C36" s="249"/>
      <c r="D36" s="249"/>
      <c r="E36" s="249"/>
      <c r="F36" s="260" t="s">
        <v>478</v>
      </c>
      <c r="G36" s="252">
        <v>5</v>
      </c>
      <c r="H36" s="249"/>
      <c r="I36" s="249"/>
      <c r="J36" s="254"/>
      <c r="K36" s="254"/>
      <c r="L36" s="253"/>
      <c r="M36" s="253"/>
      <c r="N36" s="253"/>
      <c r="O36" s="253"/>
      <c r="P36" s="253"/>
      <c r="Q36" s="253"/>
      <c r="R36" s="255"/>
      <c r="S36" s="255"/>
      <c r="T36" s="256"/>
      <c r="U36" s="261"/>
      <c r="V36" s="255"/>
      <c r="W36" s="255"/>
      <c r="X36" s="255"/>
      <c r="Y36" s="255"/>
      <c r="Z36" s="255"/>
      <c r="AA36" s="254"/>
      <c r="AB36" s="253"/>
      <c r="AC36" s="253"/>
      <c r="AD36" s="253"/>
      <c r="AE36" s="255"/>
      <c r="AF36" s="255"/>
      <c r="AG36" s="257"/>
      <c r="AH36" s="258"/>
      <c r="AI36" s="259"/>
      <c r="AJ36" s="259"/>
      <c r="AK36" s="257"/>
      <c r="AL36" s="257"/>
      <c r="AM36" s="257"/>
      <c r="AN36" s="242"/>
      <c r="AO36" s="172">
        <f>AN36-($J$63*G36)</f>
        <v>-10076.339285714286</v>
      </c>
      <c r="AP36" s="243"/>
      <c r="AQ36" s="243">
        <f>AP36-($J$63*G36)</f>
        <v>-10076.339285714286</v>
      </c>
    </row>
    <row r="37" spans="1:43" x14ac:dyDescent="0.25">
      <c r="A37" s="248"/>
      <c r="B37" s="250"/>
      <c r="C37" s="250"/>
      <c r="D37" s="250"/>
      <c r="E37" s="250"/>
      <c r="F37" s="262" t="s">
        <v>479</v>
      </c>
      <c r="G37" s="263"/>
      <c r="H37" s="264">
        <f>SUM(G35:G36)</f>
        <v>17</v>
      </c>
      <c r="I37" s="292">
        <f>H37/(($J$8-$J$9)/$J$10)</f>
        <v>0.89047619047619053</v>
      </c>
      <c r="J37" s="254"/>
      <c r="K37" s="254"/>
      <c r="L37" s="253"/>
      <c r="M37" s="253"/>
      <c r="N37" s="253"/>
      <c r="O37" s="253"/>
      <c r="P37" s="253"/>
      <c r="Q37" s="253"/>
      <c r="R37" s="255"/>
      <c r="S37" s="255"/>
      <c r="T37" s="256"/>
      <c r="U37" s="261"/>
      <c r="V37" s="255"/>
      <c r="W37" s="255"/>
      <c r="X37" s="255"/>
      <c r="Y37" s="255"/>
      <c r="Z37" s="255"/>
      <c r="AA37" s="254">
        <f t="shared" si="8"/>
        <v>0</v>
      </c>
      <c r="AB37" s="253"/>
      <c r="AC37" s="253"/>
      <c r="AD37" s="253"/>
      <c r="AE37" s="255"/>
      <c r="AF37" s="255"/>
      <c r="AG37" s="257"/>
      <c r="AH37" s="258"/>
      <c r="AI37" s="259"/>
      <c r="AJ37" s="259"/>
      <c r="AK37" s="257"/>
      <c r="AL37" s="257"/>
      <c r="AM37" s="257"/>
      <c r="AN37" s="242"/>
      <c r="AO37" s="172"/>
      <c r="AP37" s="243"/>
      <c r="AQ37" s="243"/>
    </row>
    <row r="38" spans="1:43" x14ac:dyDescent="0.25">
      <c r="A38" s="230">
        <v>42705</v>
      </c>
      <c r="B38" s="266" t="s">
        <v>486</v>
      </c>
      <c r="C38" s="266" t="s">
        <v>502</v>
      </c>
      <c r="D38" s="231" t="s">
        <v>503</v>
      </c>
      <c r="E38" s="231" t="s">
        <v>504</v>
      </c>
      <c r="F38" s="295">
        <v>42725</v>
      </c>
      <c r="G38" s="233">
        <v>8</v>
      </c>
      <c r="H38" s="296"/>
      <c r="I38" s="296"/>
      <c r="J38" s="234">
        <v>24000</v>
      </c>
      <c r="K38" s="234">
        <v>6101.89</v>
      </c>
      <c r="L38" s="231">
        <v>6</v>
      </c>
      <c r="M38" s="231">
        <v>14</v>
      </c>
      <c r="N38" s="231">
        <v>12</v>
      </c>
      <c r="O38" s="231">
        <v>96</v>
      </c>
      <c r="P38" s="235">
        <f>[1]Ardoch!G26</f>
        <v>21036.909714285714</v>
      </c>
      <c r="Q38" s="231">
        <f>[1]Ardoch!G32</f>
        <v>5120</v>
      </c>
      <c r="R38" s="236">
        <f t="shared" si="0"/>
        <v>66.960000000000008</v>
      </c>
      <c r="S38" s="236">
        <f t="shared" si="1"/>
        <v>748.8</v>
      </c>
      <c r="T38" s="237">
        <f t="shared" si="2"/>
        <v>0.25454545454545452</v>
      </c>
      <c r="U38" s="238">
        <f t="shared" ref="U38" si="24">IF(L38=0,0,T38*$T$3)</f>
        <v>127.27272727272727</v>
      </c>
      <c r="V38" s="236">
        <f t="shared" si="3"/>
        <v>1.5272727272727271</v>
      </c>
      <c r="W38" s="236">
        <f t="shared" si="4"/>
        <v>6.1090909090909085</v>
      </c>
      <c r="X38" s="236">
        <f t="shared" si="5"/>
        <v>17.029090909090908</v>
      </c>
      <c r="Y38" s="236">
        <f t="shared" si="6"/>
        <v>95.301818181818163</v>
      </c>
      <c r="Z38" s="236">
        <f t="shared" si="7"/>
        <v>112.33090909090907</v>
      </c>
      <c r="AA38" s="234">
        <f t="shared" si="8"/>
        <v>27212.27335064935</v>
      </c>
      <c r="AB38" s="231">
        <v>0</v>
      </c>
      <c r="AC38" s="231">
        <v>0</v>
      </c>
      <c r="AD38" s="231">
        <f t="shared" si="17"/>
        <v>0</v>
      </c>
      <c r="AE38" s="236">
        <f t="shared" si="16"/>
        <v>0</v>
      </c>
      <c r="AF38" s="236">
        <f t="shared" si="9"/>
        <v>0</v>
      </c>
      <c r="AG38" s="239">
        <f t="shared" si="18"/>
        <v>0</v>
      </c>
      <c r="AH38" s="240">
        <f>$AE$6</f>
        <v>0.05</v>
      </c>
      <c r="AI38" s="241">
        <f t="shared" si="10"/>
        <v>0</v>
      </c>
      <c r="AJ38" s="241">
        <f t="shared" si="11"/>
        <v>0</v>
      </c>
      <c r="AK38" s="239">
        <f t="shared" si="19"/>
        <v>0</v>
      </c>
      <c r="AL38" s="239">
        <f t="shared" si="12"/>
        <v>0</v>
      </c>
      <c r="AM38" s="239">
        <f t="shared" si="13"/>
        <v>0</v>
      </c>
      <c r="AN38" s="242">
        <f t="shared" si="14"/>
        <v>27212.27335064935</v>
      </c>
      <c r="AO38" s="172">
        <f t="shared" ref="AO38:AO57" si="25">AN38-($J$63*G38)</f>
        <v>11090.130493506493</v>
      </c>
      <c r="AP38" s="243">
        <f t="shared" si="15"/>
        <v>27212.27335064935</v>
      </c>
      <c r="AQ38" s="243">
        <f t="shared" ref="AQ38:AQ49" si="26">AP38-($J$63*G38)</f>
        <v>11090.130493506493</v>
      </c>
    </row>
    <row r="39" spans="1:43" x14ac:dyDescent="0.25">
      <c r="A39" s="230"/>
      <c r="B39" s="266"/>
      <c r="C39" s="266"/>
      <c r="D39" s="231"/>
      <c r="E39" s="231"/>
      <c r="F39" s="231" t="s">
        <v>478</v>
      </c>
      <c r="G39" s="233">
        <v>5</v>
      </c>
      <c r="H39" s="296"/>
      <c r="I39" s="296"/>
      <c r="J39" s="234"/>
      <c r="K39" s="234"/>
      <c r="L39" s="231"/>
      <c r="M39" s="231"/>
      <c r="N39" s="231"/>
      <c r="O39" s="231"/>
      <c r="P39" s="231"/>
      <c r="Q39" s="231"/>
      <c r="R39" s="236"/>
      <c r="S39" s="236"/>
      <c r="T39" s="237"/>
      <c r="U39" s="238"/>
      <c r="V39" s="236"/>
      <c r="W39" s="236"/>
      <c r="X39" s="236"/>
      <c r="Y39" s="236"/>
      <c r="Z39" s="236"/>
      <c r="AA39" s="234"/>
      <c r="AB39" s="231"/>
      <c r="AC39" s="231"/>
      <c r="AD39" s="231"/>
      <c r="AE39" s="236"/>
      <c r="AF39" s="236"/>
      <c r="AG39" s="239"/>
      <c r="AH39" s="240"/>
      <c r="AI39" s="241"/>
      <c r="AJ39" s="241"/>
      <c r="AK39" s="239"/>
      <c r="AL39" s="239"/>
      <c r="AM39" s="239"/>
      <c r="AN39" s="242">
        <f t="shared" si="14"/>
        <v>0</v>
      </c>
      <c r="AO39" s="172">
        <f t="shared" si="25"/>
        <v>-10076.339285714286</v>
      </c>
      <c r="AP39" s="243">
        <f t="shared" si="15"/>
        <v>0</v>
      </c>
      <c r="AQ39" s="243">
        <f t="shared" si="26"/>
        <v>-10076.339285714286</v>
      </c>
    </row>
    <row r="40" spans="1:43" x14ac:dyDescent="0.25">
      <c r="A40" s="230"/>
      <c r="B40" s="266"/>
      <c r="C40" s="266"/>
      <c r="D40" s="231"/>
      <c r="E40" s="231"/>
      <c r="F40" s="231"/>
      <c r="G40" s="233"/>
      <c r="H40" s="296"/>
      <c r="I40" s="296"/>
      <c r="J40" s="234"/>
      <c r="K40" s="234"/>
      <c r="L40" s="231"/>
      <c r="M40" s="231"/>
      <c r="N40" s="231"/>
      <c r="O40" s="231"/>
      <c r="P40" s="231"/>
      <c r="Q40" s="231"/>
      <c r="R40" s="236"/>
      <c r="S40" s="236"/>
      <c r="T40" s="237"/>
      <c r="U40" s="238"/>
      <c r="V40" s="236"/>
      <c r="W40" s="236"/>
      <c r="X40" s="236"/>
      <c r="Y40" s="236"/>
      <c r="Z40" s="236"/>
      <c r="AA40" s="234"/>
      <c r="AB40" s="231"/>
      <c r="AC40" s="231"/>
      <c r="AD40" s="231"/>
      <c r="AE40" s="236"/>
      <c r="AF40" s="236"/>
      <c r="AG40" s="239"/>
      <c r="AH40" s="240"/>
      <c r="AI40" s="241"/>
      <c r="AJ40" s="241"/>
      <c r="AK40" s="239"/>
      <c r="AL40" s="239"/>
      <c r="AM40" s="239"/>
      <c r="AN40" s="242">
        <f t="shared" si="14"/>
        <v>0</v>
      </c>
      <c r="AO40" s="172">
        <f t="shared" si="25"/>
        <v>0</v>
      </c>
      <c r="AP40" s="243">
        <f t="shared" si="15"/>
        <v>0</v>
      </c>
      <c r="AQ40" s="243">
        <f t="shared" si="26"/>
        <v>0</v>
      </c>
    </row>
    <row r="41" spans="1:43" x14ac:dyDescent="0.25">
      <c r="A41" s="230"/>
      <c r="B41" s="267"/>
      <c r="C41" s="267"/>
      <c r="D41" s="231"/>
      <c r="E41" s="231"/>
      <c r="F41" s="231"/>
      <c r="G41" s="233"/>
      <c r="H41" s="275">
        <f>G38+G39</f>
        <v>13</v>
      </c>
      <c r="I41" s="291">
        <f>H41/(($J$8-$J$9)/$J$10)</f>
        <v>0.68095238095238098</v>
      </c>
      <c r="J41" s="272"/>
      <c r="K41" s="234"/>
      <c r="L41" s="231"/>
      <c r="M41" s="231"/>
      <c r="N41" s="231"/>
      <c r="O41" s="231"/>
      <c r="P41" s="231"/>
      <c r="Q41" s="231"/>
      <c r="R41" s="236">
        <f t="shared" si="0"/>
        <v>0</v>
      </c>
      <c r="S41" s="236">
        <f t="shared" si="1"/>
        <v>0</v>
      </c>
      <c r="T41" s="237">
        <f t="shared" si="2"/>
        <v>0</v>
      </c>
      <c r="U41" s="238">
        <f t="shared" ref="U41:U43" si="27">IF(L41=0,0,T41*$T$3)</f>
        <v>0</v>
      </c>
      <c r="V41" s="236">
        <f t="shared" si="3"/>
        <v>0</v>
      </c>
      <c r="W41" s="236">
        <f t="shared" si="4"/>
        <v>0</v>
      </c>
      <c r="X41" s="236">
        <f t="shared" si="5"/>
        <v>0</v>
      </c>
      <c r="Y41" s="236">
        <f t="shared" si="6"/>
        <v>0</v>
      </c>
      <c r="Z41" s="236">
        <f t="shared" si="7"/>
        <v>0</v>
      </c>
      <c r="AA41" s="234">
        <f t="shared" si="8"/>
        <v>0</v>
      </c>
      <c r="AB41" s="231"/>
      <c r="AC41" s="231"/>
      <c r="AD41" s="231"/>
      <c r="AE41" s="236"/>
      <c r="AF41" s="236">
        <f t="shared" si="9"/>
        <v>0</v>
      </c>
      <c r="AG41" s="239"/>
      <c r="AH41" s="240">
        <f>$AE$6</f>
        <v>0.05</v>
      </c>
      <c r="AI41" s="241">
        <f t="shared" si="10"/>
        <v>0</v>
      </c>
      <c r="AJ41" s="241">
        <f t="shared" si="11"/>
        <v>0</v>
      </c>
      <c r="AK41" s="239"/>
      <c r="AL41" s="239">
        <f t="shared" si="12"/>
        <v>0</v>
      </c>
      <c r="AM41" s="239">
        <f t="shared" si="13"/>
        <v>0</v>
      </c>
      <c r="AN41" s="242">
        <f t="shared" si="14"/>
        <v>0</v>
      </c>
      <c r="AO41" s="172">
        <f t="shared" si="25"/>
        <v>0</v>
      </c>
      <c r="AP41" s="243">
        <f t="shared" si="15"/>
        <v>0</v>
      </c>
      <c r="AQ41" s="243">
        <f t="shared" si="26"/>
        <v>0</v>
      </c>
    </row>
    <row r="42" spans="1:43" x14ac:dyDescent="0.25">
      <c r="A42" s="248">
        <v>42736</v>
      </c>
      <c r="B42" s="253" t="s">
        <v>387</v>
      </c>
      <c r="C42" s="253" t="s">
        <v>505</v>
      </c>
      <c r="D42" s="253" t="s">
        <v>506</v>
      </c>
      <c r="E42" s="253" t="s">
        <v>477</v>
      </c>
      <c r="F42" s="297">
        <v>42742</v>
      </c>
      <c r="G42" s="298">
        <v>4</v>
      </c>
      <c r="H42" s="253"/>
      <c r="I42" s="253"/>
      <c r="J42" s="254">
        <v>24000</v>
      </c>
      <c r="K42" s="279">
        <v>8259.19</v>
      </c>
      <c r="L42" s="253">
        <v>245</v>
      </c>
      <c r="M42" s="253">
        <v>12</v>
      </c>
      <c r="N42" s="253">
        <v>490</v>
      </c>
      <c r="O42" s="253">
        <v>1960</v>
      </c>
      <c r="P42" s="294">
        <f>[1]Littleport!G26</f>
        <v>14099.428571428572</v>
      </c>
      <c r="Q42" s="253">
        <f>[1]Littleport!G32</f>
        <v>7088</v>
      </c>
      <c r="R42" s="255">
        <f t="shared" si="0"/>
        <v>2734.2</v>
      </c>
      <c r="S42" s="255">
        <f t="shared" si="1"/>
        <v>15288</v>
      </c>
      <c r="T42" s="256">
        <f t="shared" si="2"/>
        <v>0.21818181818181817</v>
      </c>
      <c r="U42" s="255">
        <f t="shared" si="27"/>
        <v>109.09090909090908</v>
      </c>
      <c r="V42" s="255">
        <f t="shared" si="3"/>
        <v>53.454545454545453</v>
      </c>
      <c r="W42" s="255">
        <f t="shared" si="4"/>
        <v>213.81818181818181</v>
      </c>
      <c r="X42" s="255">
        <f t="shared" si="5"/>
        <v>596.0181818181818</v>
      </c>
      <c r="Y42" s="255">
        <f t="shared" si="6"/>
        <v>3335.5636363636363</v>
      </c>
      <c r="Z42" s="255">
        <f t="shared" si="7"/>
        <v>3931.5818181818181</v>
      </c>
      <c r="AA42" s="254">
        <f t="shared" si="8"/>
        <v>43250.301298701306</v>
      </c>
      <c r="AB42" s="253">
        <v>845</v>
      </c>
      <c r="AC42" s="253">
        <v>6</v>
      </c>
      <c r="AD42" s="253">
        <f t="shared" si="17"/>
        <v>5070</v>
      </c>
      <c r="AE42" s="255">
        <f t="shared" si="16"/>
        <v>9421.75</v>
      </c>
      <c r="AF42" s="255">
        <f t="shared" si="9"/>
        <v>79092</v>
      </c>
      <c r="AG42" s="257">
        <f t="shared" si="18"/>
        <v>88513.75</v>
      </c>
      <c r="AH42" s="258">
        <f>$AE$6</f>
        <v>0.05</v>
      </c>
      <c r="AI42" s="259">
        <f t="shared" si="10"/>
        <v>42.25</v>
      </c>
      <c r="AJ42" s="259">
        <f t="shared" si="11"/>
        <v>253.5</v>
      </c>
      <c r="AK42" s="257">
        <f t="shared" si="19"/>
        <v>4425.6875</v>
      </c>
      <c r="AL42" s="257">
        <f t="shared" si="12"/>
        <v>471.08750000000003</v>
      </c>
      <c r="AM42" s="257">
        <f t="shared" si="13"/>
        <v>3954.6000000000004</v>
      </c>
      <c r="AN42" s="242">
        <f t="shared" si="14"/>
        <v>131764.05129870132</v>
      </c>
      <c r="AO42" s="172">
        <f t="shared" si="25"/>
        <v>123702.97987012989</v>
      </c>
      <c r="AP42" s="243">
        <f t="shared" si="15"/>
        <v>47675.988798701306</v>
      </c>
      <c r="AQ42" s="243">
        <f t="shared" si="26"/>
        <v>39614.917370129879</v>
      </c>
    </row>
    <row r="43" spans="1:43" x14ac:dyDescent="0.25">
      <c r="A43" s="248"/>
      <c r="B43" s="253" t="s">
        <v>486</v>
      </c>
      <c r="C43" s="253" t="s">
        <v>507</v>
      </c>
      <c r="D43" s="253" t="s">
        <v>508</v>
      </c>
      <c r="E43" s="253" t="s">
        <v>405</v>
      </c>
      <c r="F43" s="297">
        <v>42762</v>
      </c>
      <c r="G43" s="298">
        <v>17</v>
      </c>
      <c r="H43" s="253"/>
      <c r="I43" s="253"/>
      <c r="J43" s="254"/>
      <c r="K43" s="254"/>
      <c r="L43" s="253">
        <v>645</v>
      </c>
      <c r="M43" s="253">
        <v>14</v>
      </c>
      <c r="N43" s="253">
        <v>1290</v>
      </c>
      <c r="O43" s="253">
        <v>5160</v>
      </c>
      <c r="P43" s="253">
        <f>[1]Tiroran!G26</f>
        <v>85888</v>
      </c>
      <c r="Q43" s="253">
        <f>[1]Tiroran!G32</f>
        <v>17104</v>
      </c>
      <c r="R43" s="255">
        <f>N43*$P$3</f>
        <v>7198.2</v>
      </c>
      <c r="S43" s="255">
        <f t="shared" si="1"/>
        <v>40248</v>
      </c>
      <c r="T43" s="256">
        <f t="shared" si="2"/>
        <v>0.25454545454545452</v>
      </c>
      <c r="U43" s="255">
        <f t="shared" si="27"/>
        <v>127.27272727272727</v>
      </c>
      <c r="V43" s="255">
        <f t="shared" si="3"/>
        <v>164.18181818181816</v>
      </c>
      <c r="W43" s="255">
        <f t="shared" si="4"/>
        <v>656.72727272727263</v>
      </c>
      <c r="X43" s="255">
        <f t="shared" si="5"/>
        <v>1830.6272727272726</v>
      </c>
      <c r="Y43" s="255">
        <f t="shared" si="6"/>
        <v>10244.945454545454</v>
      </c>
      <c r="Z43" s="255">
        <f t="shared" si="7"/>
        <v>12075.572727272727</v>
      </c>
      <c r="AA43" s="254">
        <f t="shared" si="8"/>
        <v>162641.04545454547</v>
      </c>
      <c r="AB43" s="253">
        <v>645</v>
      </c>
      <c r="AC43" s="253">
        <v>6</v>
      </c>
      <c r="AD43" s="253">
        <f t="shared" si="17"/>
        <v>3870</v>
      </c>
      <c r="AE43" s="255">
        <f t="shared" si="16"/>
        <v>7191.75</v>
      </c>
      <c r="AF43" s="255">
        <f t="shared" si="9"/>
        <v>60372</v>
      </c>
      <c r="AG43" s="257">
        <f t="shared" si="18"/>
        <v>67563.75</v>
      </c>
      <c r="AH43" s="258">
        <f>$AE$6</f>
        <v>0.05</v>
      </c>
      <c r="AI43" s="259">
        <f t="shared" si="10"/>
        <v>32.25</v>
      </c>
      <c r="AJ43" s="259">
        <f t="shared" si="11"/>
        <v>193.5</v>
      </c>
      <c r="AK43" s="257">
        <f t="shared" si="19"/>
        <v>3378.1875</v>
      </c>
      <c r="AL43" s="257">
        <f t="shared" si="12"/>
        <v>359.58750000000003</v>
      </c>
      <c r="AM43" s="257">
        <f t="shared" si="13"/>
        <v>3018.6000000000004</v>
      </c>
      <c r="AN43" s="242">
        <f t="shared" si="14"/>
        <v>230204.79545454547</v>
      </c>
      <c r="AO43" s="172">
        <f t="shared" si="25"/>
        <v>195945.24188311689</v>
      </c>
      <c r="AP43" s="243">
        <f t="shared" si="15"/>
        <v>166019.23295454547</v>
      </c>
      <c r="AQ43" s="243">
        <f t="shared" si="26"/>
        <v>131759.67938311689</v>
      </c>
    </row>
    <row r="44" spans="1:43" x14ac:dyDescent="0.25">
      <c r="A44" s="248"/>
      <c r="B44" s="253"/>
      <c r="C44" s="253"/>
      <c r="D44" s="253"/>
      <c r="E44" s="253"/>
      <c r="F44" s="253"/>
      <c r="G44" s="298"/>
      <c r="H44" s="253"/>
      <c r="I44" s="253"/>
      <c r="J44" s="254"/>
      <c r="K44" s="254"/>
      <c r="L44" s="253"/>
      <c r="M44" s="253"/>
      <c r="N44" s="253"/>
      <c r="O44" s="253"/>
      <c r="P44" s="253"/>
      <c r="Q44" s="253"/>
      <c r="R44" s="255"/>
      <c r="S44" s="255"/>
      <c r="T44" s="256"/>
      <c r="U44" s="255"/>
      <c r="V44" s="255"/>
      <c r="W44" s="255"/>
      <c r="X44" s="255"/>
      <c r="Y44" s="255"/>
      <c r="Z44" s="255"/>
      <c r="AA44" s="254"/>
      <c r="AB44" s="253"/>
      <c r="AC44" s="253"/>
      <c r="AD44" s="253"/>
      <c r="AE44" s="255"/>
      <c r="AF44" s="255"/>
      <c r="AG44" s="257"/>
      <c r="AH44" s="258"/>
      <c r="AI44" s="259"/>
      <c r="AJ44" s="259"/>
      <c r="AK44" s="257"/>
      <c r="AL44" s="257"/>
      <c r="AM44" s="257"/>
      <c r="AN44" s="242">
        <f t="shared" si="14"/>
        <v>0</v>
      </c>
      <c r="AO44" s="172">
        <f t="shared" si="25"/>
        <v>0</v>
      </c>
      <c r="AP44" s="243">
        <f t="shared" si="15"/>
        <v>0</v>
      </c>
      <c r="AQ44" s="243">
        <f t="shared" si="26"/>
        <v>0</v>
      </c>
    </row>
    <row r="45" spans="1:43" x14ac:dyDescent="0.25">
      <c r="A45" s="248"/>
      <c r="B45" s="253"/>
      <c r="C45" s="253"/>
      <c r="D45" s="253"/>
      <c r="E45" s="253"/>
      <c r="F45" s="253"/>
      <c r="G45" s="298"/>
      <c r="H45" s="264">
        <f>G42+G43</f>
        <v>21</v>
      </c>
      <c r="I45" s="292">
        <f>H45/(($J$8-$J$9)/$J$10)</f>
        <v>1.1000000000000001</v>
      </c>
      <c r="J45" s="286"/>
      <c r="K45" s="254"/>
      <c r="L45" s="253"/>
      <c r="M45" s="253"/>
      <c r="N45" s="253"/>
      <c r="O45" s="253"/>
      <c r="P45" s="253"/>
      <c r="Q45" s="253"/>
      <c r="R45" s="255">
        <f t="shared" si="0"/>
        <v>0</v>
      </c>
      <c r="S45" s="255">
        <f t="shared" si="1"/>
        <v>0</v>
      </c>
      <c r="T45" s="256">
        <f t="shared" si="2"/>
        <v>0</v>
      </c>
      <c r="U45" s="255">
        <f t="shared" ref="U45" si="28">IF(L45=0,0,T45*$T$3)</f>
        <v>0</v>
      </c>
      <c r="V45" s="255">
        <f t="shared" si="3"/>
        <v>0</v>
      </c>
      <c r="W45" s="255">
        <f t="shared" si="4"/>
        <v>0</v>
      </c>
      <c r="X45" s="255">
        <f t="shared" si="5"/>
        <v>0</v>
      </c>
      <c r="Y45" s="255">
        <f t="shared" si="6"/>
        <v>0</v>
      </c>
      <c r="Z45" s="255">
        <f t="shared" si="7"/>
        <v>0</v>
      </c>
      <c r="AA45" s="254">
        <f t="shared" si="8"/>
        <v>0</v>
      </c>
      <c r="AB45" s="253"/>
      <c r="AC45" s="253"/>
      <c r="AD45" s="253"/>
      <c r="AE45" s="255"/>
      <c r="AF45" s="255">
        <f t="shared" si="9"/>
        <v>0</v>
      </c>
      <c r="AG45" s="257"/>
      <c r="AH45" s="258">
        <f>$AE$6</f>
        <v>0.05</v>
      </c>
      <c r="AI45" s="259">
        <f t="shared" si="10"/>
        <v>0</v>
      </c>
      <c r="AJ45" s="259">
        <f t="shared" si="11"/>
        <v>0</v>
      </c>
      <c r="AK45" s="257"/>
      <c r="AL45" s="257">
        <f t="shared" si="12"/>
        <v>0</v>
      </c>
      <c r="AM45" s="257">
        <f t="shared" si="13"/>
        <v>0</v>
      </c>
      <c r="AN45" s="242">
        <f t="shared" si="14"/>
        <v>0</v>
      </c>
      <c r="AO45" s="172">
        <f t="shared" si="25"/>
        <v>0</v>
      </c>
      <c r="AP45" s="243">
        <f t="shared" si="15"/>
        <v>0</v>
      </c>
      <c r="AQ45" s="243">
        <f t="shared" si="26"/>
        <v>0</v>
      </c>
    </row>
    <row r="46" spans="1:43" x14ac:dyDescent="0.25">
      <c r="A46" s="230">
        <v>42767</v>
      </c>
      <c r="B46" s="231" t="s">
        <v>409</v>
      </c>
      <c r="C46" s="231" t="s">
        <v>509</v>
      </c>
      <c r="D46" s="231" t="s">
        <v>510</v>
      </c>
      <c r="E46" s="231" t="s">
        <v>396</v>
      </c>
      <c r="F46" s="232">
        <v>42789</v>
      </c>
      <c r="G46" s="233">
        <v>14</v>
      </c>
      <c r="H46" s="231"/>
      <c r="I46" s="231"/>
      <c r="J46" s="270">
        <v>24000</v>
      </c>
      <c r="K46" s="270">
        <v>13018.38</v>
      </c>
      <c r="L46" s="271">
        <v>927</v>
      </c>
      <c r="M46" s="271">
        <v>18</v>
      </c>
      <c r="N46" s="271">
        <v>0</v>
      </c>
      <c r="O46" s="271">
        <v>0</v>
      </c>
      <c r="P46" s="271">
        <f>[1]Dalchork!G26</f>
        <v>194420</v>
      </c>
      <c r="Q46" s="271">
        <f>[1]Dalchork!G32</f>
        <v>22992</v>
      </c>
      <c r="R46" s="238">
        <f t="shared" si="0"/>
        <v>0</v>
      </c>
      <c r="S46" s="238">
        <f t="shared" si="1"/>
        <v>0</v>
      </c>
      <c r="T46" s="287">
        <f t="shared" si="2"/>
        <v>0.32727272727272727</v>
      </c>
      <c r="U46" s="238">
        <f>IF(L46=0,0,T46*$T$3)</f>
        <v>163.63636363636363</v>
      </c>
      <c r="V46" s="238">
        <f t="shared" si="3"/>
        <v>303.38181818181818</v>
      </c>
      <c r="W46" s="238">
        <f t="shared" si="4"/>
        <v>1213.5272727272727</v>
      </c>
      <c r="X46" s="238">
        <f t="shared" si="5"/>
        <v>3382.707272727273</v>
      </c>
      <c r="Y46" s="238">
        <f t="shared" si="6"/>
        <v>18931.025454545455</v>
      </c>
      <c r="Z46" s="238">
        <f t="shared" si="7"/>
        <v>22313.732727272727</v>
      </c>
      <c r="AA46" s="270">
        <f t="shared" si="8"/>
        <v>239889.36909090908</v>
      </c>
      <c r="AB46" s="271">
        <v>927</v>
      </c>
      <c r="AC46" s="271">
        <v>8</v>
      </c>
      <c r="AD46" s="271">
        <f>AB46*AC46</f>
        <v>7416</v>
      </c>
      <c r="AE46" s="238">
        <f t="shared" si="16"/>
        <v>10336.050000000001</v>
      </c>
      <c r="AF46" s="238">
        <f t="shared" si="9"/>
        <v>115689.59999999999</v>
      </c>
      <c r="AG46" s="288">
        <f t="shared" si="18"/>
        <v>126025.65</v>
      </c>
      <c r="AH46" s="289">
        <f>$AE$6</f>
        <v>0.05</v>
      </c>
      <c r="AI46" s="290">
        <f t="shared" si="10"/>
        <v>46.35</v>
      </c>
      <c r="AJ46" s="290">
        <f t="shared" si="11"/>
        <v>370.8</v>
      </c>
      <c r="AK46" s="288">
        <f t="shared" si="19"/>
        <v>6301.2825000000003</v>
      </c>
      <c r="AL46" s="288">
        <f t="shared" si="12"/>
        <v>516.80250000000012</v>
      </c>
      <c r="AM46" s="288">
        <f t="shared" si="13"/>
        <v>5784.48</v>
      </c>
      <c r="AN46" s="242">
        <f t="shared" si="14"/>
        <v>365915.01909090905</v>
      </c>
      <c r="AO46" s="172">
        <f t="shared" si="25"/>
        <v>337701.26909090905</v>
      </c>
      <c r="AP46" s="243">
        <f t="shared" si="15"/>
        <v>246190.65159090908</v>
      </c>
      <c r="AQ46" s="243">
        <f t="shared" si="26"/>
        <v>217976.90159090908</v>
      </c>
    </row>
    <row r="47" spans="1:43" x14ac:dyDescent="0.25">
      <c r="A47" s="230"/>
      <c r="B47" s="231"/>
      <c r="C47" s="231"/>
      <c r="D47" s="231"/>
      <c r="E47" s="231"/>
      <c r="F47" s="231" t="s">
        <v>478</v>
      </c>
      <c r="G47" s="233">
        <v>3</v>
      </c>
      <c r="H47" s="231"/>
      <c r="I47" s="231"/>
      <c r="J47" s="234"/>
      <c r="K47" s="234"/>
      <c r="L47" s="231"/>
      <c r="M47" s="231"/>
      <c r="N47" s="231"/>
      <c r="O47" s="231"/>
      <c r="P47" s="231"/>
      <c r="Q47" s="231"/>
      <c r="R47" s="236"/>
      <c r="S47" s="236"/>
      <c r="T47" s="237"/>
      <c r="U47" s="238"/>
      <c r="V47" s="236"/>
      <c r="W47" s="236"/>
      <c r="X47" s="236"/>
      <c r="Y47" s="236"/>
      <c r="Z47" s="236"/>
      <c r="AA47" s="234"/>
      <c r="AB47" s="231"/>
      <c r="AC47" s="231"/>
      <c r="AD47" s="231"/>
      <c r="AE47" s="236"/>
      <c r="AF47" s="236"/>
      <c r="AG47" s="239"/>
      <c r="AH47" s="240">
        <f t="shared" ref="AH47:AH57" si="29">$AE$6</f>
        <v>0.05</v>
      </c>
      <c r="AI47" s="241"/>
      <c r="AJ47" s="241"/>
      <c r="AK47" s="239"/>
      <c r="AL47" s="239"/>
      <c r="AM47" s="239"/>
      <c r="AN47" s="242">
        <f t="shared" si="14"/>
        <v>0</v>
      </c>
      <c r="AO47" s="172">
        <f t="shared" si="25"/>
        <v>-6045.8035714285716</v>
      </c>
      <c r="AP47" s="243">
        <f t="shared" si="15"/>
        <v>0</v>
      </c>
      <c r="AQ47" s="243">
        <f t="shared" si="26"/>
        <v>-6045.8035714285716</v>
      </c>
    </row>
    <row r="48" spans="1:43" x14ac:dyDescent="0.25">
      <c r="A48" s="230"/>
      <c r="B48" s="231"/>
      <c r="C48" s="231"/>
      <c r="D48" s="231"/>
      <c r="E48" s="231"/>
      <c r="F48" s="231"/>
      <c r="G48" s="233"/>
      <c r="H48" s="231"/>
      <c r="I48" s="231"/>
      <c r="J48" s="234"/>
      <c r="K48" s="234"/>
      <c r="L48" s="231"/>
      <c r="M48" s="231"/>
      <c r="N48" s="231"/>
      <c r="O48" s="231"/>
      <c r="P48" s="231"/>
      <c r="Q48" s="231"/>
      <c r="R48" s="236"/>
      <c r="S48" s="236"/>
      <c r="T48" s="237"/>
      <c r="U48" s="238"/>
      <c r="V48" s="236"/>
      <c r="W48" s="236"/>
      <c r="X48" s="236"/>
      <c r="Y48" s="236"/>
      <c r="Z48" s="236"/>
      <c r="AA48" s="234"/>
      <c r="AB48" s="231"/>
      <c r="AC48" s="231"/>
      <c r="AD48" s="231"/>
      <c r="AE48" s="236"/>
      <c r="AF48" s="236"/>
      <c r="AG48" s="239"/>
      <c r="AH48" s="240">
        <f t="shared" si="29"/>
        <v>0.05</v>
      </c>
      <c r="AI48" s="241"/>
      <c r="AJ48" s="241"/>
      <c r="AK48" s="239"/>
      <c r="AL48" s="239"/>
      <c r="AM48" s="239"/>
      <c r="AN48" s="242">
        <f t="shared" si="14"/>
        <v>0</v>
      </c>
      <c r="AO48" s="172">
        <f t="shared" si="25"/>
        <v>0</v>
      </c>
      <c r="AP48" s="243">
        <f t="shared" si="15"/>
        <v>0</v>
      </c>
      <c r="AQ48" s="243">
        <f t="shared" si="26"/>
        <v>0</v>
      </c>
    </row>
    <row r="49" spans="1:43" x14ac:dyDescent="0.25">
      <c r="A49" s="230"/>
      <c r="B49" s="231"/>
      <c r="C49" s="231"/>
      <c r="D49" s="231"/>
      <c r="E49" s="231"/>
      <c r="F49" s="231"/>
      <c r="G49" s="233"/>
      <c r="H49" s="275">
        <f>G46+G47</f>
        <v>17</v>
      </c>
      <c r="I49" s="291">
        <f>H49/(($J$8-$J$9)/$J$10)</f>
        <v>0.89047619047619053</v>
      </c>
      <c r="J49" s="234"/>
      <c r="K49" s="234"/>
      <c r="L49" s="231"/>
      <c r="M49" s="231"/>
      <c r="N49" s="231"/>
      <c r="O49" s="231"/>
      <c r="P49" s="231"/>
      <c r="Q49" s="231"/>
      <c r="R49" s="236">
        <f t="shared" si="0"/>
        <v>0</v>
      </c>
      <c r="S49" s="236">
        <f t="shared" si="1"/>
        <v>0</v>
      </c>
      <c r="T49" s="237">
        <f t="shared" si="2"/>
        <v>0</v>
      </c>
      <c r="U49" s="238">
        <f t="shared" ref="U49:U51" si="30">IF(L49=0,0,T49*$T$3)</f>
        <v>0</v>
      </c>
      <c r="V49" s="236">
        <f t="shared" si="3"/>
        <v>0</v>
      </c>
      <c r="W49" s="236">
        <f t="shared" si="4"/>
        <v>0</v>
      </c>
      <c r="X49" s="236">
        <f t="shared" si="5"/>
        <v>0</v>
      </c>
      <c r="Y49" s="236">
        <f t="shared" si="6"/>
        <v>0</v>
      </c>
      <c r="Z49" s="236">
        <f t="shared" si="7"/>
        <v>0</v>
      </c>
      <c r="AA49" s="234">
        <f t="shared" si="8"/>
        <v>0</v>
      </c>
      <c r="AB49" s="231"/>
      <c r="AC49" s="231"/>
      <c r="AD49" s="231"/>
      <c r="AE49" s="236"/>
      <c r="AF49" s="236">
        <f t="shared" si="9"/>
        <v>0</v>
      </c>
      <c r="AG49" s="239"/>
      <c r="AH49" s="240">
        <f t="shared" si="29"/>
        <v>0.05</v>
      </c>
      <c r="AI49" s="241">
        <f t="shared" si="10"/>
        <v>0</v>
      </c>
      <c r="AJ49" s="241">
        <f t="shared" si="11"/>
        <v>0</v>
      </c>
      <c r="AK49" s="239"/>
      <c r="AL49" s="239">
        <f t="shared" si="12"/>
        <v>0</v>
      </c>
      <c r="AM49" s="239">
        <f t="shared" si="13"/>
        <v>0</v>
      </c>
      <c r="AN49" s="242">
        <f t="shared" si="14"/>
        <v>0</v>
      </c>
      <c r="AO49" s="172">
        <f t="shared" si="25"/>
        <v>0</v>
      </c>
      <c r="AP49" s="243">
        <f t="shared" si="15"/>
        <v>0</v>
      </c>
      <c r="AQ49" s="243">
        <f t="shared" si="26"/>
        <v>0</v>
      </c>
    </row>
    <row r="50" spans="1:43" x14ac:dyDescent="0.25">
      <c r="A50" s="248">
        <v>42795</v>
      </c>
      <c r="B50" s="253" t="s">
        <v>409</v>
      </c>
      <c r="C50" s="253" t="s">
        <v>511</v>
      </c>
      <c r="D50" s="253" t="s">
        <v>510</v>
      </c>
      <c r="E50" s="253" t="s">
        <v>498</v>
      </c>
      <c r="F50" s="299">
        <v>42804</v>
      </c>
      <c r="G50" s="298">
        <v>11</v>
      </c>
      <c r="H50" s="253"/>
      <c r="I50" s="253"/>
      <c r="J50" s="279">
        <v>24000</v>
      </c>
      <c r="K50" s="254"/>
      <c r="L50" s="253"/>
      <c r="M50" s="253"/>
      <c r="N50" s="253"/>
      <c r="O50" s="253"/>
      <c r="P50" s="253"/>
      <c r="Q50" s="253"/>
      <c r="R50" s="255">
        <f t="shared" si="0"/>
        <v>0</v>
      </c>
      <c r="S50" s="255">
        <f t="shared" si="1"/>
        <v>0</v>
      </c>
      <c r="T50" s="256">
        <f t="shared" si="2"/>
        <v>0</v>
      </c>
      <c r="U50" s="255">
        <f t="shared" si="30"/>
        <v>0</v>
      </c>
      <c r="V50" s="255">
        <f t="shared" si="3"/>
        <v>0</v>
      </c>
      <c r="W50" s="255">
        <f t="shared" si="4"/>
        <v>0</v>
      </c>
      <c r="X50" s="255">
        <f t="shared" si="5"/>
        <v>0</v>
      </c>
      <c r="Y50" s="255">
        <f t="shared" si="6"/>
        <v>0</v>
      </c>
      <c r="Z50" s="255">
        <f t="shared" si="7"/>
        <v>0</v>
      </c>
      <c r="AA50" s="254">
        <f t="shared" si="8"/>
        <v>0</v>
      </c>
      <c r="AB50" s="253"/>
      <c r="AC50" s="253"/>
      <c r="AD50" s="253">
        <f t="shared" si="17"/>
        <v>0</v>
      </c>
      <c r="AE50" s="255">
        <f t="shared" si="16"/>
        <v>0</v>
      </c>
      <c r="AF50" s="255">
        <f t="shared" si="9"/>
        <v>0</v>
      </c>
      <c r="AG50" s="257">
        <f t="shared" si="18"/>
        <v>0</v>
      </c>
      <c r="AH50" s="258">
        <f t="shared" si="29"/>
        <v>0.05</v>
      </c>
      <c r="AI50" s="259">
        <f t="shared" si="10"/>
        <v>0</v>
      </c>
      <c r="AJ50" s="259">
        <f t="shared" si="11"/>
        <v>0</v>
      </c>
      <c r="AK50" s="257">
        <f t="shared" si="19"/>
        <v>0</v>
      </c>
      <c r="AL50" s="257">
        <f t="shared" si="12"/>
        <v>0</v>
      </c>
      <c r="AM50" s="257">
        <f t="shared" si="13"/>
        <v>0</v>
      </c>
      <c r="AN50" s="242">
        <f t="shared" si="14"/>
        <v>0</v>
      </c>
      <c r="AO50" s="172">
        <f t="shared" si="25"/>
        <v>-22167.946428571428</v>
      </c>
      <c r="AP50" s="243">
        <f t="shared" si="15"/>
        <v>0</v>
      </c>
      <c r="AQ50" s="243">
        <f>AP50-($J$63*G50)</f>
        <v>-22167.946428571428</v>
      </c>
    </row>
    <row r="51" spans="1:43" x14ac:dyDescent="0.25">
      <c r="A51" s="248"/>
      <c r="B51" s="253"/>
      <c r="C51" s="253" t="s">
        <v>512</v>
      </c>
      <c r="D51" s="253" t="s">
        <v>513</v>
      </c>
      <c r="E51" s="253" t="s">
        <v>514</v>
      </c>
      <c r="F51" s="297">
        <v>42825</v>
      </c>
      <c r="G51" s="300">
        <v>5</v>
      </c>
      <c r="H51" s="253"/>
      <c r="I51" s="253"/>
      <c r="J51" s="254"/>
      <c r="K51" s="254"/>
      <c r="L51" s="253">
        <v>30</v>
      </c>
      <c r="M51" s="253">
        <v>5</v>
      </c>
      <c r="N51" s="253">
        <v>70</v>
      </c>
      <c r="O51" s="253">
        <v>140</v>
      </c>
      <c r="P51" s="253">
        <f>[1]Shinnach!G26</f>
        <v>36359</v>
      </c>
      <c r="Q51" s="253">
        <f>[1]Shinnach!G32</f>
        <v>3100</v>
      </c>
      <c r="R51" s="255">
        <f>N51*$P$3</f>
        <v>390.6</v>
      </c>
      <c r="S51" s="255">
        <f t="shared" si="1"/>
        <v>1092</v>
      </c>
      <c r="T51" s="256">
        <f t="shared" si="2"/>
        <v>9.0909090909090912E-2</v>
      </c>
      <c r="U51" s="255">
        <f t="shared" si="30"/>
        <v>45.454545454545453</v>
      </c>
      <c r="V51" s="255">
        <f t="shared" si="3"/>
        <v>2.7272727272727275</v>
      </c>
      <c r="W51" s="255">
        <f t="shared" si="4"/>
        <v>10.90909090909091</v>
      </c>
      <c r="X51" s="255">
        <f t="shared" si="5"/>
        <v>30.40909090909091</v>
      </c>
      <c r="Y51" s="255">
        <f t="shared" si="6"/>
        <v>170.18181818181819</v>
      </c>
      <c r="Z51" s="255">
        <f t="shared" si="7"/>
        <v>200.59090909090909</v>
      </c>
      <c r="AA51" s="254">
        <f t="shared" si="8"/>
        <v>41187.645454545454</v>
      </c>
      <c r="AB51" s="253">
        <v>35</v>
      </c>
      <c r="AC51" s="253">
        <v>2</v>
      </c>
      <c r="AD51" s="253">
        <f t="shared" si="17"/>
        <v>70</v>
      </c>
      <c r="AE51" s="255">
        <f t="shared" si="16"/>
        <v>390.25</v>
      </c>
      <c r="AF51" s="255">
        <f t="shared" si="9"/>
        <v>1092</v>
      </c>
      <c r="AG51" s="257">
        <f t="shared" si="18"/>
        <v>1482.25</v>
      </c>
      <c r="AH51" s="258">
        <f t="shared" si="29"/>
        <v>0.05</v>
      </c>
      <c r="AI51" s="259">
        <f t="shared" si="10"/>
        <v>1.75</v>
      </c>
      <c r="AJ51" s="259">
        <f t="shared" si="11"/>
        <v>3.5</v>
      </c>
      <c r="AK51" s="257">
        <f t="shared" si="19"/>
        <v>74.112499999999997</v>
      </c>
      <c r="AL51" s="257">
        <f t="shared" si="12"/>
        <v>19.512500000000003</v>
      </c>
      <c r="AM51" s="257">
        <f t="shared" si="13"/>
        <v>54.6</v>
      </c>
      <c r="AN51" s="242">
        <f t="shared" si="14"/>
        <v>42669.895454545454</v>
      </c>
      <c r="AO51" s="172">
        <f t="shared" si="25"/>
        <v>32593.556168831168</v>
      </c>
      <c r="AP51" s="243">
        <f t="shared" si="15"/>
        <v>41261.757954545457</v>
      </c>
      <c r="AQ51" s="243">
        <f>AP51-($J$63*G51)</f>
        <v>31185.418668831171</v>
      </c>
    </row>
    <row r="52" spans="1:43" x14ac:dyDescent="0.25">
      <c r="A52" s="248"/>
      <c r="B52" s="253"/>
      <c r="C52" s="253"/>
      <c r="D52" s="253"/>
      <c r="E52" s="253"/>
      <c r="F52" s="253"/>
      <c r="G52" s="298"/>
      <c r="H52" s="253"/>
      <c r="I52" s="253"/>
      <c r="J52" s="254"/>
      <c r="K52" s="254"/>
      <c r="L52" s="253"/>
      <c r="M52" s="253"/>
      <c r="N52" s="253"/>
      <c r="O52" s="253"/>
      <c r="P52" s="253"/>
      <c r="Q52" s="253"/>
      <c r="R52" s="255"/>
      <c r="S52" s="255"/>
      <c r="T52" s="256"/>
      <c r="U52" s="255"/>
      <c r="V52" s="255"/>
      <c r="W52" s="255"/>
      <c r="X52" s="255"/>
      <c r="Y52" s="255"/>
      <c r="Z52" s="255"/>
      <c r="AA52" s="254"/>
      <c r="AB52" s="253"/>
      <c r="AC52" s="253"/>
      <c r="AD52" s="253"/>
      <c r="AE52" s="255"/>
      <c r="AF52" s="255"/>
      <c r="AG52" s="257"/>
      <c r="AH52" s="258">
        <f t="shared" si="29"/>
        <v>0.05</v>
      </c>
      <c r="AI52" s="259"/>
      <c r="AJ52" s="259"/>
      <c r="AK52" s="257"/>
      <c r="AL52" s="257"/>
      <c r="AM52" s="257"/>
      <c r="AN52" s="242">
        <f t="shared" si="14"/>
        <v>0</v>
      </c>
      <c r="AO52" s="172">
        <f t="shared" si="25"/>
        <v>0</v>
      </c>
      <c r="AP52" s="243">
        <f t="shared" si="15"/>
        <v>0</v>
      </c>
      <c r="AQ52" s="243">
        <f>AP52-($J$63*G52)</f>
        <v>0</v>
      </c>
    </row>
    <row r="53" spans="1:43" x14ac:dyDescent="0.25">
      <c r="A53" s="253"/>
      <c r="B53" s="253"/>
      <c r="C53" s="253"/>
      <c r="D53" s="253"/>
      <c r="E53" s="253"/>
      <c r="F53" s="253"/>
      <c r="G53" s="298"/>
      <c r="H53" s="264">
        <f>G50+G51</f>
        <v>16</v>
      </c>
      <c r="I53" s="292">
        <f>H53/(($J$8-$J$9)/$J$10)</f>
        <v>0.83809523809523812</v>
      </c>
      <c r="J53" s="254"/>
      <c r="K53" s="254"/>
      <c r="L53" s="253"/>
      <c r="M53" s="253"/>
      <c r="N53" s="253"/>
      <c r="O53" s="253"/>
      <c r="P53" s="253"/>
      <c r="Q53" s="253"/>
      <c r="R53" s="255">
        <f t="shared" si="0"/>
        <v>0</v>
      </c>
      <c r="S53" s="255">
        <f t="shared" si="1"/>
        <v>0</v>
      </c>
      <c r="T53" s="256">
        <f t="shared" si="2"/>
        <v>0</v>
      </c>
      <c r="U53" s="255">
        <f t="shared" ref="U53" si="31">IF(L53=0,0,T53*$T$3)</f>
        <v>0</v>
      </c>
      <c r="V53" s="255">
        <f t="shared" si="3"/>
        <v>0</v>
      </c>
      <c r="W53" s="255">
        <f t="shared" si="4"/>
        <v>0</v>
      </c>
      <c r="X53" s="255">
        <f>T53*(L53*$AE$3)</f>
        <v>0</v>
      </c>
      <c r="Y53" s="255">
        <f t="shared" si="6"/>
        <v>0</v>
      </c>
      <c r="Z53" s="255">
        <f t="shared" si="7"/>
        <v>0</v>
      </c>
      <c r="AA53" s="254">
        <f t="shared" si="8"/>
        <v>0</v>
      </c>
      <c r="AB53" s="253"/>
      <c r="AC53" s="253"/>
      <c r="AD53" s="253">
        <f t="shared" si="17"/>
        <v>0</v>
      </c>
      <c r="AE53" s="255">
        <f t="shared" si="16"/>
        <v>0</v>
      </c>
      <c r="AF53" s="255">
        <f t="shared" si="9"/>
        <v>0</v>
      </c>
      <c r="AG53" s="257">
        <f t="shared" si="18"/>
        <v>0</v>
      </c>
      <c r="AH53" s="258">
        <f t="shared" si="29"/>
        <v>0.05</v>
      </c>
      <c r="AI53" s="259">
        <f t="shared" si="10"/>
        <v>0</v>
      </c>
      <c r="AJ53" s="259">
        <f t="shared" si="11"/>
        <v>0</v>
      </c>
      <c r="AK53" s="257">
        <f t="shared" si="19"/>
        <v>0</v>
      </c>
      <c r="AL53" s="257">
        <f t="shared" si="12"/>
        <v>0</v>
      </c>
      <c r="AM53" s="257">
        <f t="shared" si="13"/>
        <v>0</v>
      </c>
      <c r="AN53" s="242">
        <f t="shared" si="14"/>
        <v>0</v>
      </c>
      <c r="AO53" s="172">
        <f t="shared" si="25"/>
        <v>0</v>
      </c>
      <c r="AP53" s="243">
        <f t="shared" si="15"/>
        <v>0</v>
      </c>
      <c r="AQ53" s="243">
        <f t="shared" ref="AQ53:AQ57" si="32">AP53-($J$63*G53)</f>
        <v>0</v>
      </c>
    </row>
    <row r="54" spans="1:43" x14ac:dyDescent="0.25">
      <c r="J54" s="137"/>
      <c r="K54" s="137"/>
      <c r="R54" s="168"/>
      <c r="S54" s="168"/>
      <c r="T54" s="168"/>
      <c r="U54" s="168"/>
      <c r="V54" s="168"/>
      <c r="W54" s="168"/>
      <c r="X54" s="168"/>
      <c r="Y54" s="168"/>
      <c r="Z54" s="168"/>
      <c r="AA54" s="170">
        <f t="shared" ref="AA54:AA57" si="33">S54+R54+P54</f>
        <v>0</v>
      </c>
      <c r="AD54">
        <f t="shared" si="17"/>
        <v>0</v>
      </c>
      <c r="AE54" s="168">
        <f t="shared" si="16"/>
        <v>0</v>
      </c>
      <c r="AF54" s="301">
        <f t="shared" si="9"/>
        <v>0</v>
      </c>
      <c r="AG54" s="141">
        <f t="shared" si="18"/>
        <v>0</v>
      </c>
      <c r="AH54" s="302">
        <f t="shared" si="29"/>
        <v>0.05</v>
      </c>
      <c r="AI54" s="303">
        <f t="shared" si="10"/>
        <v>0</v>
      </c>
      <c r="AJ54" s="303">
        <f t="shared" si="11"/>
        <v>0</v>
      </c>
      <c r="AK54" s="141">
        <f t="shared" si="19"/>
        <v>0</v>
      </c>
      <c r="AL54" s="141">
        <f t="shared" si="12"/>
        <v>0</v>
      </c>
      <c r="AM54" s="141">
        <f t="shared" si="13"/>
        <v>0</v>
      </c>
      <c r="AN54" s="242">
        <f t="shared" si="14"/>
        <v>0</v>
      </c>
      <c r="AO54" s="172">
        <f t="shared" si="25"/>
        <v>0</v>
      </c>
      <c r="AP54" s="243">
        <f t="shared" si="15"/>
        <v>0</v>
      </c>
      <c r="AQ54" s="243">
        <f t="shared" si="32"/>
        <v>0</v>
      </c>
    </row>
    <row r="55" spans="1:43" x14ac:dyDescent="0.25">
      <c r="J55" s="137"/>
      <c r="K55" s="137"/>
      <c r="R55" s="168"/>
      <c r="S55" s="168"/>
      <c r="T55" s="168"/>
      <c r="U55" s="168"/>
      <c r="V55" s="168"/>
      <c r="W55" s="168"/>
      <c r="X55" s="168"/>
      <c r="Y55" s="168"/>
      <c r="Z55" s="168"/>
      <c r="AA55" s="170">
        <f t="shared" si="33"/>
        <v>0</v>
      </c>
      <c r="AD55">
        <f t="shared" si="17"/>
        <v>0</v>
      </c>
      <c r="AE55" s="168">
        <f t="shared" si="16"/>
        <v>0</v>
      </c>
      <c r="AF55" s="301">
        <f t="shared" si="9"/>
        <v>0</v>
      </c>
      <c r="AG55" s="141">
        <f>(AE55+AF55)</f>
        <v>0</v>
      </c>
      <c r="AH55" s="302">
        <f t="shared" si="29"/>
        <v>0.05</v>
      </c>
      <c r="AI55" s="303">
        <f t="shared" si="10"/>
        <v>0</v>
      </c>
      <c r="AJ55" s="303">
        <f t="shared" si="11"/>
        <v>0</v>
      </c>
      <c r="AK55" s="141">
        <f t="shared" si="19"/>
        <v>0</v>
      </c>
      <c r="AL55" s="141">
        <f t="shared" si="12"/>
        <v>0</v>
      </c>
      <c r="AM55" s="141">
        <f t="shared" si="13"/>
        <v>0</v>
      </c>
      <c r="AN55" s="242">
        <f t="shared" si="14"/>
        <v>0</v>
      </c>
      <c r="AO55" s="172">
        <f t="shared" si="25"/>
        <v>0</v>
      </c>
      <c r="AP55" s="243">
        <f t="shared" si="15"/>
        <v>0</v>
      </c>
      <c r="AQ55" s="243">
        <f t="shared" si="32"/>
        <v>0</v>
      </c>
    </row>
    <row r="56" spans="1:43" x14ac:dyDescent="0.25">
      <c r="J56" s="137"/>
      <c r="K56" s="137"/>
      <c r="R56" s="168"/>
      <c r="S56" s="168"/>
      <c r="T56" s="168"/>
      <c r="U56" s="168"/>
      <c r="V56" s="168"/>
      <c r="W56" s="168"/>
      <c r="X56" s="168"/>
      <c r="Y56" s="168"/>
      <c r="Z56" s="168"/>
      <c r="AA56" s="170">
        <f t="shared" si="33"/>
        <v>0</v>
      </c>
      <c r="AD56">
        <f t="shared" si="17"/>
        <v>0</v>
      </c>
      <c r="AE56" s="168">
        <f t="shared" si="16"/>
        <v>0</v>
      </c>
      <c r="AF56" s="301">
        <f t="shared" si="9"/>
        <v>0</v>
      </c>
      <c r="AG56" s="141">
        <f t="shared" si="18"/>
        <v>0</v>
      </c>
      <c r="AH56" s="302">
        <f t="shared" si="29"/>
        <v>0.05</v>
      </c>
      <c r="AI56" s="303">
        <f t="shared" si="10"/>
        <v>0</v>
      </c>
      <c r="AJ56" s="303">
        <f t="shared" si="11"/>
        <v>0</v>
      </c>
      <c r="AK56" s="141">
        <f t="shared" si="19"/>
        <v>0</v>
      </c>
      <c r="AL56" s="141">
        <f t="shared" si="12"/>
        <v>0</v>
      </c>
      <c r="AM56" s="141">
        <f t="shared" si="13"/>
        <v>0</v>
      </c>
      <c r="AN56" s="242">
        <f t="shared" si="14"/>
        <v>0</v>
      </c>
      <c r="AO56" s="172">
        <f t="shared" si="25"/>
        <v>0</v>
      </c>
      <c r="AP56" s="243">
        <f t="shared" si="15"/>
        <v>0</v>
      </c>
      <c r="AQ56" s="243">
        <f t="shared" si="32"/>
        <v>0</v>
      </c>
    </row>
    <row r="57" spans="1:43" x14ac:dyDescent="0.25">
      <c r="J57" s="137"/>
      <c r="K57" s="137"/>
      <c r="R57" s="168"/>
      <c r="S57" s="168"/>
      <c r="T57" s="168"/>
      <c r="U57" s="168"/>
      <c r="V57" s="168"/>
      <c r="W57" s="168"/>
      <c r="X57" s="168"/>
      <c r="Y57" s="168"/>
      <c r="Z57" s="168"/>
      <c r="AA57" s="170">
        <f t="shared" si="33"/>
        <v>0</v>
      </c>
      <c r="AD57">
        <f t="shared" si="17"/>
        <v>0</v>
      </c>
      <c r="AE57" s="168">
        <f t="shared" si="16"/>
        <v>0</v>
      </c>
      <c r="AF57" s="301">
        <f t="shared" si="9"/>
        <v>0</v>
      </c>
      <c r="AG57" s="141">
        <f t="shared" si="18"/>
        <v>0</v>
      </c>
      <c r="AH57" s="302">
        <f t="shared" si="29"/>
        <v>0.05</v>
      </c>
      <c r="AI57" s="303">
        <f t="shared" si="10"/>
        <v>0</v>
      </c>
      <c r="AJ57" s="303">
        <f t="shared" si="11"/>
        <v>0</v>
      </c>
      <c r="AK57" s="141">
        <f t="shared" si="19"/>
        <v>0</v>
      </c>
      <c r="AL57" s="141">
        <f t="shared" si="12"/>
        <v>0</v>
      </c>
      <c r="AM57" s="141">
        <f t="shared" si="13"/>
        <v>0</v>
      </c>
      <c r="AN57" s="242">
        <f t="shared" si="14"/>
        <v>0</v>
      </c>
      <c r="AO57" s="172">
        <f t="shared" si="25"/>
        <v>0</v>
      </c>
      <c r="AP57" s="243">
        <f t="shared" si="15"/>
        <v>0</v>
      </c>
      <c r="AQ57" s="243">
        <f t="shared" si="32"/>
        <v>0</v>
      </c>
    </row>
    <row r="58" spans="1:43" x14ac:dyDescent="0.25">
      <c r="B58" s="304"/>
      <c r="C58" s="304"/>
      <c r="D58" s="304"/>
      <c r="E58" s="304"/>
      <c r="F58" s="304"/>
      <c r="G58" s="305"/>
      <c r="H58" s="306">
        <f>SUM(H14:H53)</f>
        <v>168</v>
      </c>
      <c r="I58" s="307">
        <f>AVERAGE(I15:I53)</f>
        <v>0.88000000000000023</v>
      </c>
      <c r="J58" s="308">
        <f>SUM(J14:J53)</f>
        <v>240000</v>
      </c>
      <c r="K58" s="308">
        <f>SUM(K14:K57)</f>
        <v>98565.000000000015</v>
      </c>
      <c r="L58" s="309"/>
      <c r="M58" s="309">
        <f t="shared" ref="M58:S58" si="34">SUM(M14:M57)</f>
        <v>160</v>
      </c>
      <c r="N58" s="309">
        <f t="shared" si="34"/>
        <v>3528</v>
      </c>
      <c r="O58" s="309">
        <f t="shared" si="34"/>
        <v>14358</v>
      </c>
      <c r="P58" s="310">
        <f t="shared" si="34"/>
        <v>633514.93028571433</v>
      </c>
      <c r="Q58" s="310">
        <f t="shared" si="34"/>
        <v>121166</v>
      </c>
      <c r="R58" s="310">
        <f t="shared" si="34"/>
        <v>19686.239999999998</v>
      </c>
      <c r="S58" s="310">
        <f t="shared" si="34"/>
        <v>111992.40000000001</v>
      </c>
      <c r="T58" s="310"/>
      <c r="U58" s="310">
        <f t="shared" ref="U58:AB58" si="35">SUM(U14:U57)</f>
        <v>1272.727272727273</v>
      </c>
      <c r="V58" s="310">
        <f t="shared" si="35"/>
        <v>662.23636363636365</v>
      </c>
      <c r="W58" s="310">
        <f t="shared" si="35"/>
        <v>2648.9454545454546</v>
      </c>
      <c r="X58" s="310">
        <f t="shared" si="35"/>
        <v>7383.9354545454544</v>
      </c>
      <c r="Y58" s="310">
        <f t="shared" si="35"/>
        <v>41323.549090909095</v>
      </c>
      <c r="Z58" s="310">
        <f t="shared" si="35"/>
        <v>48707.48454545455</v>
      </c>
      <c r="AA58" s="196">
        <f t="shared" si="35"/>
        <v>936339.78210389614</v>
      </c>
      <c r="AB58" s="185">
        <f t="shared" si="35"/>
        <v>20188</v>
      </c>
      <c r="AC58" s="185"/>
      <c r="AD58" s="185">
        <f>SUM(AD14:AD57)</f>
        <v>94098</v>
      </c>
      <c r="AE58" s="311">
        <f>SUM(AE14:AE57)</f>
        <v>225096.19999999998</v>
      </c>
      <c r="AF58" s="311">
        <f>SUM(AF14:AF57)</f>
        <v>1467928.8</v>
      </c>
      <c r="AG58" s="186">
        <f>SUM(AG14:AG57)</f>
        <v>1693024.9999999998</v>
      </c>
      <c r="AH58" s="186"/>
      <c r="AI58" s="311">
        <f t="shared" ref="AI58:AN58" si="36">SUM(AI14:AI57)</f>
        <v>1009.4000000000001</v>
      </c>
      <c r="AJ58" s="311">
        <f t="shared" si="36"/>
        <v>4704.9000000000005</v>
      </c>
      <c r="AK58" s="186">
        <f t="shared" si="36"/>
        <v>84651.25</v>
      </c>
      <c r="AL58" s="186">
        <f t="shared" si="36"/>
        <v>11254.81</v>
      </c>
      <c r="AM58" s="186">
        <f t="shared" si="36"/>
        <v>73396.44</v>
      </c>
      <c r="AN58" s="312">
        <f t="shared" si="36"/>
        <v>2629364.7821038961</v>
      </c>
      <c r="AO58" s="313">
        <f>SUM(AO14:AO57)</f>
        <v>2290799.7821038957</v>
      </c>
      <c r="AP58" s="243">
        <f>SUM(AP14:AP57)</f>
        <v>1020991.032103896</v>
      </c>
      <c r="AQ58" s="243">
        <f>SUM(AQ14:AQ57)</f>
        <v>242426.03210389602</v>
      </c>
    </row>
    <row r="59" spans="1:43" x14ac:dyDescent="0.25">
      <c r="I59" s="169"/>
      <c r="J59" s="137"/>
      <c r="K59" s="137"/>
      <c r="AG59" s="140"/>
      <c r="AH59" s="140"/>
      <c r="AI59" s="140"/>
      <c r="AJ59" s="140"/>
      <c r="AK59" s="141"/>
      <c r="AL59" s="141"/>
      <c r="AM59" s="141"/>
      <c r="AN59" s="141"/>
      <c r="AO59" s="142"/>
      <c r="AP59" s="140"/>
    </row>
    <row r="60" spans="1:43" x14ac:dyDescent="0.25">
      <c r="K60" s="137"/>
      <c r="AG60" s="140"/>
      <c r="AH60" s="140"/>
      <c r="AI60" s="140"/>
      <c r="AJ60" s="140"/>
      <c r="AK60" s="141"/>
      <c r="AL60" s="141"/>
      <c r="AM60" s="141"/>
      <c r="AN60" s="141"/>
      <c r="AO60" s="142"/>
      <c r="AP60" s="140"/>
    </row>
    <row r="61" spans="1:43" x14ac:dyDescent="0.25">
      <c r="E61" s="142"/>
      <c r="F61" s="181" t="s">
        <v>515</v>
      </c>
      <c r="G61" s="314"/>
      <c r="H61" s="181"/>
      <c r="I61" s="181"/>
      <c r="J61" s="315">
        <f>H58</f>
        <v>168</v>
      </c>
      <c r="K61" s="170"/>
      <c r="N61" s="183" t="s">
        <v>417</v>
      </c>
      <c r="O61" s="183"/>
      <c r="P61" s="183"/>
      <c r="Q61" s="184">
        <f>P58+Q58+U58+Z58</f>
        <v>804661.14210389613</v>
      </c>
      <c r="AE61" s="185" t="s">
        <v>418</v>
      </c>
      <c r="AF61" s="185"/>
      <c r="AG61" s="186">
        <f>AG58</f>
        <v>1693024.9999999998</v>
      </c>
      <c r="AH61" s="186"/>
      <c r="AI61" s="186"/>
      <c r="AJ61" s="186"/>
      <c r="AK61" s="186">
        <f>SUM(AK14:AK57)</f>
        <v>84651.25</v>
      </c>
      <c r="AL61" s="186"/>
      <c r="AM61" s="186"/>
      <c r="AN61" s="141"/>
      <c r="AO61" s="142"/>
      <c r="AP61" s="140"/>
      <c r="AQ61" s="140"/>
    </row>
    <row r="62" spans="1:43" x14ac:dyDescent="0.25">
      <c r="E62" s="142"/>
      <c r="F62" s="181" t="s">
        <v>516</v>
      </c>
      <c r="G62" s="314"/>
      <c r="H62" s="181"/>
      <c r="I62" s="181"/>
      <c r="J62" s="308">
        <f>J58+K58</f>
        <v>338565</v>
      </c>
      <c r="K62" s="141"/>
      <c r="N62" s="183" t="s">
        <v>420</v>
      </c>
      <c r="O62" s="183"/>
      <c r="P62" s="183"/>
      <c r="Q62" s="188">
        <f>Q61/M58</f>
        <v>5029.1321381493508</v>
      </c>
      <c r="AA62" s="168"/>
      <c r="AE62" s="185" t="s">
        <v>421</v>
      </c>
      <c r="AF62" s="185"/>
      <c r="AG62" s="189">
        <f>AG61/H58</f>
        <v>10077.52976190476</v>
      </c>
      <c r="AH62" s="186"/>
      <c r="AI62" s="186"/>
      <c r="AJ62" s="186"/>
      <c r="AK62" s="189">
        <f>AK61/H58</f>
        <v>503.87648809523807</v>
      </c>
      <c r="AL62" s="189"/>
      <c r="AM62" s="189"/>
      <c r="AN62" s="141"/>
      <c r="AO62" s="142"/>
      <c r="AP62" s="140"/>
    </row>
    <row r="63" spans="1:43" x14ac:dyDescent="0.25">
      <c r="E63" s="142"/>
      <c r="F63" s="181" t="s">
        <v>517</v>
      </c>
      <c r="G63" s="314"/>
      <c r="H63" s="181"/>
      <c r="I63" s="181"/>
      <c r="J63" s="308">
        <f>J62/J61</f>
        <v>2015.2678571428571</v>
      </c>
      <c r="K63" s="316"/>
      <c r="AG63" s="140"/>
      <c r="AH63" s="140"/>
      <c r="AI63" s="140"/>
      <c r="AJ63" s="140"/>
      <c r="AK63" s="141"/>
      <c r="AL63" s="141"/>
      <c r="AM63" s="141"/>
      <c r="AN63" s="141"/>
      <c r="AO63" s="142"/>
      <c r="AP63" s="140"/>
    </row>
    <row r="64" spans="1:43" x14ac:dyDescent="0.25">
      <c r="K64" s="137"/>
      <c r="N64" s="183" t="s">
        <v>423</v>
      </c>
      <c r="O64" s="183"/>
      <c r="P64" s="183"/>
      <c r="Q64" s="184">
        <f>R58+S58+Z58</f>
        <v>180386.12454545457</v>
      </c>
      <c r="T64" s="191"/>
      <c r="U64" s="192"/>
      <c r="V64" s="192"/>
      <c r="AG64" s="140"/>
      <c r="AH64" s="140"/>
      <c r="AI64" s="140"/>
      <c r="AJ64" s="140"/>
      <c r="AK64" s="141"/>
      <c r="AL64" s="141"/>
      <c r="AM64" s="141"/>
      <c r="AN64" s="141"/>
      <c r="AO64" s="142"/>
      <c r="AP64" s="140"/>
    </row>
    <row r="65" spans="3:42" x14ac:dyDescent="0.25">
      <c r="F65" s="181" t="s">
        <v>518</v>
      </c>
      <c r="G65" s="314"/>
      <c r="H65" s="181"/>
      <c r="I65" s="181"/>
      <c r="J65" s="306">
        <v>230</v>
      </c>
      <c r="K65" s="137"/>
      <c r="N65" s="183" t="s">
        <v>421</v>
      </c>
      <c r="O65" s="183"/>
      <c r="P65" s="183"/>
      <c r="Q65" s="188">
        <f>Q64/M58</f>
        <v>1127.4132784090912</v>
      </c>
      <c r="T65" s="193"/>
      <c r="U65" s="192"/>
      <c r="V65" s="192"/>
      <c r="AE65" s="142"/>
      <c r="AF65" s="142"/>
      <c r="AG65" s="317"/>
      <c r="AH65" s="140"/>
      <c r="AI65" s="140"/>
      <c r="AJ65" s="140"/>
      <c r="AK65" s="141"/>
      <c r="AL65" s="141"/>
      <c r="AM65" s="141"/>
      <c r="AN65" s="141"/>
      <c r="AO65" s="142"/>
      <c r="AP65" s="140"/>
    </row>
    <row r="66" spans="3:42" x14ac:dyDescent="0.25">
      <c r="F66" s="181" t="s">
        <v>519</v>
      </c>
      <c r="G66" s="314"/>
      <c r="H66" s="181"/>
      <c r="I66" s="181"/>
      <c r="J66" s="318">
        <f>I58</f>
        <v>0.88000000000000023</v>
      </c>
      <c r="K66" s="137"/>
      <c r="AE66" s="142"/>
      <c r="AF66" s="142"/>
      <c r="AG66" s="317"/>
      <c r="AH66" s="140"/>
      <c r="AI66" s="140"/>
      <c r="AJ66" s="140"/>
      <c r="AK66" s="141"/>
      <c r="AL66" s="141"/>
      <c r="AM66" s="141"/>
      <c r="AN66" s="141"/>
      <c r="AO66" s="142"/>
      <c r="AP66" s="140"/>
    </row>
    <row r="67" spans="3:42" x14ac:dyDescent="0.25">
      <c r="J67" s="137"/>
      <c r="K67" s="137"/>
      <c r="AE67" s="142"/>
      <c r="AF67" s="142"/>
      <c r="AG67" s="141"/>
      <c r="AH67" s="140"/>
      <c r="AI67" s="140"/>
      <c r="AJ67" s="140"/>
      <c r="AK67" s="141"/>
      <c r="AL67" s="141"/>
      <c r="AM67" s="141"/>
      <c r="AN67" s="141"/>
      <c r="AO67" s="142"/>
      <c r="AP67" s="140"/>
    </row>
    <row r="68" spans="3:42" ht="15.75" thickBot="1" x14ac:dyDescent="0.3">
      <c r="W68" s="142"/>
      <c r="X68" s="142"/>
      <c r="Y68" s="142"/>
      <c r="Z68" s="317"/>
      <c r="AE68" s="142"/>
      <c r="AF68" s="142"/>
      <c r="AG68" s="141"/>
    </row>
    <row r="69" spans="3:42" x14ac:dyDescent="0.25">
      <c r="C69" s="202" t="s">
        <v>583</v>
      </c>
      <c r="D69" s="203"/>
      <c r="E69" s="208">
        <v>228353.46514285711</v>
      </c>
      <c r="W69" s="142"/>
      <c r="X69" s="142"/>
      <c r="Y69" s="142"/>
      <c r="Z69" s="317"/>
      <c r="AE69" s="142"/>
      <c r="AF69" s="142"/>
      <c r="AG69" s="141"/>
    </row>
    <row r="70" spans="3:42" x14ac:dyDescent="0.25">
      <c r="C70" s="204" t="s">
        <v>444</v>
      </c>
      <c r="D70" s="129"/>
      <c r="E70" s="205">
        <v>2.6761400000000002</v>
      </c>
      <c r="W70" s="142"/>
      <c r="X70" s="142"/>
      <c r="Y70" s="142"/>
      <c r="Z70" s="142"/>
    </row>
    <row r="71" spans="3:42" x14ac:dyDescent="0.25">
      <c r="C71" s="204" t="s">
        <v>584</v>
      </c>
      <c r="D71" s="129"/>
      <c r="E71" s="209">
        <v>611105.84220740572</v>
      </c>
      <c r="W71" s="142"/>
      <c r="X71" s="142"/>
      <c r="Y71" s="142"/>
      <c r="Z71" s="319"/>
    </row>
    <row r="72" spans="3:42" ht="15.75" thickBot="1" x14ac:dyDescent="0.3">
      <c r="C72" s="206" t="s">
        <v>585</v>
      </c>
      <c r="D72" s="207"/>
      <c r="E72" s="215">
        <v>611.10584220740577</v>
      </c>
      <c r="T72" s="194"/>
      <c r="W72" s="142"/>
      <c r="X72" s="142"/>
      <c r="Y72" s="142"/>
      <c r="Z72" s="141"/>
    </row>
    <row r="73" spans="3:42" x14ac:dyDescent="0.25">
      <c r="W73" s="142"/>
      <c r="X73" s="142"/>
      <c r="Y73" s="142"/>
      <c r="Z73" s="141"/>
    </row>
    <row r="74" spans="3:42" x14ac:dyDescent="0.25">
      <c r="W74" s="142"/>
      <c r="X74" s="142"/>
      <c r="Y74" s="142"/>
      <c r="Z74" s="320"/>
    </row>
    <row r="78" spans="3:42" x14ac:dyDescent="0.25">
      <c r="F78" t="s">
        <v>446</v>
      </c>
    </row>
    <row r="79" spans="3:42" x14ac:dyDescent="0.25">
      <c r="C79" t="s">
        <v>441</v>
      </c>
      <c r="E79" s="201">
        <f>P58+Q58+U58</f>
        <v>755953.65755844163</v>
      </c>
      <c r="F79" s="201">
        <f>E79/1000000</f>
        <v>0.75595365755844168</v>
      </c>
      <c r="G79"/>
    </row>
    <row r="80" spans="3:42" ht="15.75" x14ac:dyDescent="0.3">
      <c r="C80" s="9" t="s">
        <v>295</v>
      </c>
      <c r="E80" s="201">
        <f>R58+X58+AL58</f>
        <v>38324.985454545451</v>
      </c>
      <c r="F80" s="201">
        <f>E80/1000000</f>
        <v>3.8324985454545449E-2</v>
      </c>
      <c r="G80"/>
    </row>
    <row r="81" spans="3:7" ht="15.75" x14ac:dyDescent="0.3">
      <c r="C81" s="9" t="s">
        <v>296</v>
      </c>
      <c r="E81" s="201">
        <f>S58+Y58+AM58</f>
        <v>226712.3890909091</v>
      </c>
      <c r="F81" s="201">
        <f>E81/1000000</f>
        <v>0.2267123890909091</v>
      </c>
      <c r="G81"/>
    </row>
    <row r="82" spans="3:7" ht="15.75" x14ac:dyDescent="0.3">
      <c r="C82" s="4" t="s">
        <v>211</v>
      </c>
      <c r="E82" s="168">
        <f>N58+V58+AI58</f>
        <v>5199.636363636364</v>
      </c>
      <c r="F82" s="168">
        <f>E82</f>
        <v>5199.636363636364</v>
      </c>
      <c r="G82"/>
    </row>
    <row r="83" spans="3:7" ht="15.75" x14ac:dyDescent="0.3">
      <c r="C83" s="4" t="s">
        <v>212</v>
      </c>
      <c r="E83" s="168">
        <f>O58+W58+AJ58</f>
        <v>21711.845454545455</v>
      </c>
      <c r="F83" s="168">
        <f>E83*60</f>
        <v>1302710.7272727273</v>
      </c>
      <c r="G83"/>
    </row>
    <row r="84" spans="3:7" ht="16.5" x14ac:dyDescent="0.3">
      <c r="C84" s="4" t="s">
        <v>325</v>
      </c>
      <c r="E84" s="167">
        <f>E72</f>
        <v>611.10584220740577</v>
      </c>
      <c r="F84" s="167">
        <f>E84</f>
        <v>611.10584220740577</v>
      </c>
      <c r="G84"/>
    </row>
  </sheetData>
  <mergeCells count="3">
    <mergeCell ref="B12:K12"/>
    <mergeCell ref="L12:AA12"/>
    <mergeCell ref="AB12:AK12"/>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86"/>
  <sheetViews>
    <sheetView topLeftCell="A73" zoomScale="70" zoomScaleNormal="70" workbookViewId="0">
      <selection activeCell="F86" sqref="F86"/>
    </sheetView>
  </sheetViews>
  <sheetFormatPr defaultRowHeight="14.25" x14ac:dyDescent="0.2"/>
  <cols>
    <col min="1" max="1" width="11.7109375" style="323" bestFit="1" customWidth="1"/>
    <col min="2" max="2" width="23.42578125" style="323" bestFit="1" customWidth="1"/>
    <col min="3" max="3" width="24.5703125" style="323" customWidth="1"/>
    <col min="4" max="4" width="26" style="323" bestFit="1" customWidth="1"/>
    <col min="5" max="5" width="18.85546875" style="323" bestFit="1" customWidth="1"/>
    <col min="6" max="6" width="24.140625" style="323" bestFit="1" customWidth="1"/>
    <col min="7" max="7" width="16.28515625" style="323" bestFit="1" customWidth="1"/>
    <col min="8" max="8" width="16.28515625" style="325" customWidth="1"/>
    <col min="9" max="9" width="18.140625" style="323" bestFit="1" customWidth="1"/>
    <col min="10" max="10" width="18.140625" style="323" customWidth="1"/>
    <col min="11" max="11" width="23.140625" style="323" customWidth="1"/>
    <col min="12" max="12" width="17.85546875" style="323" customWidth="1"/>
    <col min="13" max="13" width="12.28515625" style="323" bestFit="1" customWidth="1"/>
    <col min="14" max="14" width="12.28515625" style="323" customWidth="1"/>
    <col min="15" max="15" width="17.42578125" style="323" bestFit="1" customWidth="1"/>
    <col min="16" max="16" width="17.140625" style="323" bestFit="1" customWidth="1"/>
    <col min="17" max="17" width="14.85546875" style="323" bestFit="1" customWidth="1"/>
    <col min="18" max="18" width="15" style="323" bestFit="1" customWidth="1"/>
    <col min="19" max="19" width="17" style="323" customWidth="1"/>
    <col min="20" max="20" width="22.28515625" style="323" bestFit="1" customWidth="1"/>
    <col min="21" max="21" width="14.140625" style="323" customWidth="1"/>
    <col min="22" max="27" width="13.140625" style="323" customWidth="1"/>
    <col min="28" max="28" width="17.7109375" style="323" customWidth="1"/>
    <col min="29" max="30" width="14.28515625" style="323" customWidth="1"/>
    <col min="31" max="31" width="13.7109375" style="323" customWidth="1"/>
    <col min="32" max="32" width="15.42578125" style="323" customWidth="1"/>
    <col min="33" max="33" width="14.28515625" style="323" bestFit="1" customWidth="1"/>
    <col min="34" max="34" width="17" style="323" bestFit="1" customWidth="1"/>
    <col min="35" max="35" width="12.7109375" style="323" bestFit="1" customWidth="1"/>
    <col min="36" max="37" width="11.5703125" style="323" customWidth="1"/>
    <col min="38" max="38" width="18.42578125" style="323" bestFit="1" customWidth="1"/>
    <col min="39" max="40" width="18.42578125" style="323" customWidth="1"/>
    <col min="41" max="41" width="25.42578125" style="323" bestFit="1" customWidth="1"/>
    <col min="42" max="42" width="20.5703125" style="323" bestFit="1" customWidth="1"/>
    <col min="43" max="44" width="17.28515625" style="323" bestFit="1" customWidth="1"/>
    <col min="45" max="16384" width="9.140625" style="323"/>
  </cols>
  <sheetData>
    <row r="1" spans="1:44" ht="18" x14ac:dyDescent="0.25">
      <c r="C1" s="324" t="s">
        <v>521</v>
      </c>
      <c r="K1" s="326"/>
      <c r="L1" s="326"/>
      <c r="T1" s="327" t="s">
        <v>345</v>
      </c>
      <c r="U1" s="139">
        <v>55</v>
      </c>
      <c r="AH1" s="328"/>
      <c r="AI1" s="328"/>
      <c r="AJ1" s="328"/>
      <c r="AK1" s="328"/>
      <c r="AL1" s="329"/>
      <c r="AM1" s="329"/>
      <c r="AN1" s="329"/>
      <c r="AO1" s="329"/>
      <c r="AP1" s="330"/>
    </row>
    <row r="2" spans="1:44" ht="15" x14ac:dyDescent="0.25">
      <c r="C2" s="323" t="s">
        <v>76</v>
      </c>
      <c r="K2" s="326"/>
      <c r="L2" s="326"/>
      <c r="O2" s="143" t="s">
        <v>346</v>
      </c>
      <c r="P2" s="143"/>
      <c r="Q2" s="143"/>
      <c r="T2" s="323" t="s">
        <v>347</v>
      </c>
      <c r="U2" s="323">
        <v>4</v>
      </c>
      <c r="AD2" s="144" t="s">
        <v>348</v>
      </c>
      <c r="AE2" s="144"/>
      <c r="AF2" s="144"/>
      <c r="AH2" s="328"/>
      <c r="AI2" s="328"/>
      <c r="AJ2" s="328"/>
      <c r="AK2" s="328"/>
      <c r="AL2" s="329"/>
      <c r="AM2" s="329"/>
      <c r="AN2" s="329"/>
      <c r="AO2" s="329"/>
      <c r="AP2" s="330"/>
    </row>
    <row r="3" spans="1:44" ht="15" x14ac:dyDescent="0.25">
      <c r="D3" s="145" t="s">
        <v>349</v>
      </c>
      <c r="K3" s="326"/>
      <c r="L3" s="326"/>
      <c r="O3" s="143" t="s">
        <v>350</v>
      </c>
      <c r="P3" s="143"/>
      <c r="Q3" s="146">
        <f>AF3/2</f>
        <v>6.01</v>
      </c>
      <c r="T3" s="323" t="s">
        <v>351</v>
      </c>
      <c r="U3" s="331">
        <v>500</v>
      </c>
      <c r="AD3" s="144" t="s">
        <v>350</v>
      </c>
      <c r="AE3" s="144"/>
      <c r="AF3" s="148">
        <v>12.02</v>
      </c>
      <c r="AH3" s="328"/>
      <c r="AI3" s="328"/>
      <c r="AJ3" s="328"/>
      <c r="AK3" s="328"/>
      <c r="AL3" s="329"/>
      <c r="AM3" s="329"/>
      <c r="AN3" s="329"/>
      <c r="AO3" s="329"/>
      <c r="AP3" s="330"/>
    </row>
    <row r="4" spans="1:44" ht="15" x14ac:dyDescent="0.25">
      <c r="K4" s="326"/>
      <c r="L4" s="326"/>
      <c r="O4" s="143" t="s">
        <v>352</v>
      </c>
      <c r="P4" s="143"/>
      <c r="Q4" s="146">
        <f>AF4/2</f>
        <v>8.4149999999999991</v>
      </c>
      <c r="AD4" s="144" t="s">
        <v>352</v>
      </c>
      <c r="AE4" s="144"/>
      <c r="AF4" s="148">
        <v>16.829999999999998</v>
      </c>
      <c r="AH4" s="328"/>
      <c r="AI4" s="328"/>
      <c r="AJ4" s="328"/>
      <c r="AK4" s="328"/>
      <c r="AL4" s="329"/>
      <c r="AM4" s="329"/>
      <c r="AN4" s="329"/>
      <c r="AO4" s="329"/>
      <c r="AP4" s="330"/>
    </row>
    <row r="5" spans="1:44" ht="15" x14ac:dyDescent="0.25">
      <c r="G5" s="323" t="s">
        <v>461</v>
      </c>
      <c r="K5" s="326">
        <v>24000</v>
      </c>
      <c r="L5" s="326"/>
      <c r="O5" s="149"/>
      <c r="P5" s="149"/>
      <c r="Q5" s="150"/>
      <c r="AD5" s="149"/>
      <c r="AE5" s="149"/>
      <c r="AF5" s="150"/>
      <c r="AH5" s="328"/>
      <c r="AI5" s="328"/>
      <c r="AJ5" s="328"/>
      <c r="AK5" s="328"/>
      <c r="AL5" s="329"/>
      <c r="AM5" s="329"/>
      <c r="AN5" s="329"/>
      <c r="AO5" s="329"/>
      <c r="AP5" s="330"/>
    </row>
    <row r="6" spans="1:44" ht="15" x14ac:dyDescent="0.25">
      <c r="G6" s="323" t="s">
        <v>462</v>
      </c>
      <c r="K6" s="326">
        <v>261</v>
      </c>
      <c r="L6" s="326"/>
      <c r="O6" s="149"/>
      <c r="P6" s="149"/>
      <c r="Q6" s="150"/>
      <c r="AD6" s="149" t="s">
        <v>383</v>
      </c>
      <c r="AE6" s="149"/>
      <c r="AF6" s="221">
        <v>0.05</v>
      </c>
      <c r="AH6" s="328"/>
      <c r="AI6" s="328"/>
      <c r="AJ6" s="328"/>
      <c r="AK6" s="328"/>
      <c r="AL6" s="329"/>
      <c r="AM6" s="329"/>
      <c r="AN6" s="329"/>
      <c r="AO6" s="329"/>
      <c r="AP6" s="330"/>
    </row>
    <row r="7" spans="1:44" ht="15" x14ac:dyDescent="0.25">
      <c r="K7" s="326"/>
      <c r="L7" s="326"/>
      <c r="O7" s="149"/>
      <c r="P7" s="149"/>
      <c r="Q7" s="150"/>
      <c r="AD7" s="149"/>
      <c r="AE7" s="149"/>
      <c r="AF7" s="150" t="s">
        <v>463</v>
      </c>
      <c r="AH7" s="328"/>
      <c r="AI7" s="328"/>
      <c r="AJ7" s="328"/>
      <c r="AK7" s="328"/>
      <c r="AL7" s="329"/>
      <c r="AM7" s="329"/>
      <c r="AN7" s="329"/>
      <c r="AO7" s="329"/>
      <c r="AP7" s="330"/>
    </row>
    <row r="8" spans="1:44" ht="15" x14ac:dyDescent="0.25">
      <c r="G8" s="323" t="s">
        <v>464</v>
      </c>
      <c r="K8" s="332">
        <v>500</v>
      </c>
      <c r="L8" s="326"/>
      <c r="O8" s="149"/>
      <c r="P8" s="149"/>
      <c r="Q8" s="150"/>
      <c r="AC8" s="514"/>
      <c r="AD8" s="514"/>
      <c r="AE8" s="514"/>
      <c r="AF8" s="514"/>
      <c r="AG8" s="514"/>
      <c r="AH8" s="514"/>
      <c r="AI8" s="514"/>
      <c r="AJ8" s="514"/>
      <c r="AK8" s="514"/>
      <c r="AL8" s="514"/>
      <c r="AM8" s="333"/>
      <c r="AN8" s="333"/>
      <c r="AO8" s="333"/>
      <c r="AP8" s="216"/>
      <c r="AQ8" s="154"/>
      <c r="AR8" s="216"/>
    </row>
    <row r="9" spans="1:44" ht="15" x14ac:dyDescent="0.25">
      <c r="G9" s="323" t="s">
        <v>465</v>
      </c>
      <c r="K9" s="332">
        <v>0</v>
      </c>
      <c r="L9" s="326"/>
      <c r="O9" s="149"/>
      <c r="P9" s="149"/>
      <c r="Q9" s="150"/>
      <c r="AC9" s="334"/>
      <c r="AD9" s="334"/>
      <c r="AE9" s="334"/>
      <c r="AF9" s="334"/>
      <c r="AG9" s="334"/>
      <c r="AH9" s="163"/>
      <c r="AI9" s="163"/>
      <c r="AJ9" s="163"/>
      <c r="AK9" s="163"/>
      <c r="AL9" s="163"/>
      <c r="AM9" s="163"/>
      <c r="AN9" s="163"/>
      <c r="AO9" s="163"/>
      <c r="AP9" s="334"/>
      <c r="AQ9" s="163"/>
      <c r="AR9" s="334"/>
    </row>
    <row r="10" spans="1:44" ht="15" x14ac:dyDescent="0.25">
      <c r="G10" s="323" t="s">
        <v>466</v>
      </c>
      <c r="K10" s="332">
        <v>12</v>
      </c>
      <c r="L10" s="326"/>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326"/>
      <c r="L11" s="326"/>
      <c r="O11" s="149"/>
      <c r="P11" s="149"/>
      <c r="Q11" s="150"/>
      <c r="AD11" s="149"/>
      <c r="AE11" s="149"/>
      <c r="AF11" s="150"/>
      <c r="AH11" s="328"/>
      <c r="AI11" s="328"/>
      <c r="AJ11" s="328"/>
      <c r="AK11" s="328"/>
      <c r="AL11" s="329"/>
      <c r="AM11" s="329"/>
      <c r="AN11" s="329"/>
      <c r="AO11" s="329"/>
      <c r="AP11" s="330"/>
    </row>
    <row r="12" spans="1:44" ht="15" x14ac:dyDescent="0.25">
      <c r="B12" s="515" t="s">
        <v>522</v>
      </c>
      <c r="C12" s="516"/>
      <c r="D12" s="516"/>
      <c r="E12" s="516"/>
      <c r="F12" s="516"/>
      <c r="G12" s="516"/>
      <c r="H12" s="516"/>
      <c r="I12" s="516"/>
      <c r="J12" s="516"/>
      <c r="K12" s="516"/>
      <c r="L12" s="517"/>
      <c r="M12" s="510" t="s">
        <v>354</v>
      </c>
      <c r="N12" s="511"/>
      <c r="O12" s="511"/>
      <c r="P12" s="511"/>
      <c r="Q12" s="511"/>
      <c r="R12" s="511"/>
      <c r="S12" s="511"/>
      <c r="T12" s="511"/>
      <c r="U12" s="511"/>
      <c r="V12" s="511"/>
      <c r="W12" s="511"/>
      <c r="X12" s="511"/>
      <c r="Y12" s="511"/>
      <c r="Z12" s="511"/>
      <c r="AA12" s="511"/>
      <c r="AB12" s="512"/>
      <c r="AC12" s="513" t="s">
        <v>355</v>
      </c>
      <c r="AD12" s="513"/>
      <c r="AE12" s="513"/>
      <c r="AF12" s="513"/>
      <c r="AG12" s="513"/>
      <c r="AH12" s="513"/>
      <c r="AI12" s="513"/>
      <c r="AJ12" s="513"/>
      <c r="AK12" s="513"/>
      <c r="AL12" s="513"/>
      <c r="AM12" s="321"/>
      <c r="AN12" s="321"/>
      <c r="AO12" s="223"/>
      <c r="AP12" s="153"/>
      <c r="AQ12" s="224"/>
      <c r="AR12" s="225"/>
    </row>
    <row r="13" spans="1:44" s="339" customFormat="1" ht="90" x14ac:dyDescent="0.25">
      <c r="A13" s="339" t="s">
        <v>467</v>
      </c>
      <c r="B13" s="340" t="s">
        <v>523</v>
      </c>
      <c r="C13" s="340" t="s">
        <v>356</v>
      </c>
      <c r="D13" s="340" t="s">
        <v>524</v>
      </c>
      <c r="E13" s="340" t="s">
        <v>358</v>
      </c>
      <c r="F13" s="340" t="s">
        <v>359</v>
      </c>
      <c r="G13" s="340" t="s">
        <v>360</v>
      </c>
      <c r="H13" s="341" t="s">
        <v>468</v>
      </c>
      <c r="I13" s="340" t="s">
        <v>469</v>
      </c>
      <c r="J13" s="340" t="s">
        <v>470</v>
      </c>
      <c r="K13" s="342" t="s">
        <v>471</v>
      </c>
      <c r="L13" s="342" t="s">
        <v>472</v>
      </c>
      <c r="M13" s="343" t="s">
        <v>365</v>
      </c>
      <c r="N13" s="343" t="s">
        <v>366</v>
      </c>
      <c r="O13" s="343" t="s">
        <v>367</v>
      </c>
      <c r="P13" s="343" t="s">
        <v>368</v>
      </c>
      <c r="Q13" s="343" t="s">
        <v>369</v>
      </c>
      <c r="R13" s="343" t="s">
        <v>370</v>
      </c>
      <c r="S13" s="344" t="s">
        <v>371</v>
      </c>
      <c r="T13" s="344" t="s">
        <v>372</v>
      </c>
      <c r="U13" s="344" t="s">
        <v>373</v>
      </c>
      <c r="V13" s="344" t="s">
        <v>374</v>
      </c>
      <c r="W13" s="344" t="s">
        <v>442</v>
      </c>
      <c r="X13" s="344" t="s">
        <v>443</v>
      </c>
      <c r="Y13" s="344" t="s">
        <v>430</v>
      </c>
      <c r="Z13" s="344" t="s">
        <v>431</v>
      </c>
      <c r="AA13" s="344" t="s">
        <v>375</v>
      </c>
      <c r="AB13" s="343"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345" t="s">
        <v>525</v>
      </c>
      <c r="B14" s="345" t="s">
        <v>526</v>
      </c>
      <c r="C14" s="346" t="s">
        <v>527</v>
      </c>
      <c r="D14" s="346" t="s">
        <v>528</v>
      </c>
      <c r="E14" s="346" t="s">
        <v>529</v>
      </c>
      <c r="F14" s="346" t="s">
        <v>530</v>
      </c>
      <c r="G14" s="347">
        <v>42869</v>
      </c>
      <c r="H14" s="348">
        <v>6</v>
      </c>
      <c r="I14" s="346">
        <v>6</v>
      </c>
      <c r="J14" s="349">
        <f>SUM(I14:I17)/(($K$8-$K$9)/$K$10)</f>
        <v>0.52800000000000002</v>
      </c>
      <c r="K14" s="350">
        <v>24000</v>
      </c>
      <c r="L14" s="351">
        <v>6672.4</v>
      </c>
      <c r="M14" s="346">
        <v>8</v>
      </c>
      <c r="N14" s="346">
        <v>3</v>
      </c>
      <c r="O14" s="346">
        <v>16</v>
      </c>
      <c r="P14" s="346">
        <v>432</v>
      </c>
      <c r="Q14" s="352">
        <f>[2]Conerock!G26</f>
        <v>3722.7359999999999</v>
      </c>
      <c r="R14" s="352">
        <f>[2]Conerock!G32</f>
        <v>2084</v>
      </c>
      <c r="S14" s="353">
        <f>O14*$Q$3</f>
        <v>96.16</v>
      </c>
      <c r="T14" s="353">
        <f>P14*$Q$4</f>
        <v>3635.2799999999997</v>
      </c>
      <c r="U14" s="354">
        <f>N14/$U$1</f>
        <v>5.4545454545454543E-2</v>
      </c>
      <c r="V14" s="355">
        <f>IF(M14=0,0,U14*$U$3)</f>
        <v>27.27272727272727</v>
      </c>
      <c r="W14" s="353">
        <f>M14*U14</f>
        <v>0.43636363636363634</v>
      </c>
      <c r="X14" s="353">
        <f>U14*(M14*$U$2)</f>
        <v>1.7454545454545454</v>
      </c>
      <c r="Y14" s="353">
        <f>U14*(M14*$AF$3)</f>
        <v>5.2450909090909086</v>
      </c>
      <c r="Z14" s="353">
        <f>U14*(M14*$U$2)*$AF$4</f>
        <v>29.375999999999994</v>
      </c>
      <c r="AA14" s="353">
        <f>Y14+Z14</f>
        <v>34.621090909090903</v>
      </c>
      <c r="AB14" s="350">
        <f>Q14+R14+S14+T14+V14+AA14</f>
        <v>9600.0698181818188</v>
      </c>
      <c r="AC14" s="231">
        <v>2472</v>
      </c>
      <c r="AD14" s="231">
        <v>4</v>
      </c>
      <c r="AE14" s="231">
        <f>AC14*AD14</f>
        <v>9888</v>
      </c>
      <c r="AF14" s="236">
        <f>AC14*$AF$3</f>
        <v>29713.439999999999</v>
      </c>
      <c r="AG14" s="236">
        <f>AE14*$AF$4</f>
        <v>166415.03999999998</v>
      </c>
      <c r="AH14" s="239">
        <f>(AF14+AG14)</f>
        <v>196128.47999999998</v>
      </c>
      <c r="AI14" s="240">
        <f>$AF$6</f>
        <v>0.05</v>
      </c>
      <c r="AJ14" s="241">
        <f>AC14*AI14</f>
        <v>123.60000000000001</v>
      </c>
      <c r="AK14" s="241">
        <f>AE14*AI14</f>
        <v>494.40000000000003</v>
      </c>
      <c r="AL14" s="239">
        <f>AH14*AI14</f>
        <v>9806.4239999999991</v>
      </c>
      <c r="AM14" s="239">
        <f>AF14*AI14</f>
        <v>1485.672</v>
      </c>
      <c r="AN14" s="239">
        <f>AG14*AI14</f>
        <v>8320.7519999999986</v>
      </c>
      <c r="AO14" s="242">
        <f>AB14+AH14</f>
        <v>205728.54981818181</v>
      </c>
      <c r="AP14" s="172">
        <f t="shared" ref="AP14:AP53" si="0">AO14-($K$63*H14)</f>
        <v>197026.56034449762</v>
      </c>
      <c r="AQ14" s="243">
        <f>AB14+AL14</f>
        <v>19406.493818181818</v>
      </c>
      <c r="AR14" s="243">
        <f t="shared" ref="AR14:AR53" si="1">AQ14-($K$63*H14)</f>
        <v>10704.504344497607</v>
      </c>
    </row>
    <row r="15" spans="1:44" ht="15" x14ac:dyDescent="0.25">
      <c r="A15" s="345"/>
      <c r="B15" s="345" t="s">
        <v>526</v>
      </c>
      <c r="C15" s="346" t="s">
        <v>531</v>
      </c>
      <c r="D15" s="346" t="s">
        <v>532</v>
      </c>
      <c r="E15" s="346" t="s">
        <v>532</v>
      </c>
      <c r="F15" s="346" t="s">
        <v>405</v>
      </c>
      <c r="G15" s="347">
        <v>42844</v>
      </c>
      <c r="H15" s="348">
        <v>2</v>
      </c>
      <c r="I15" s="346">
        <v>2</v>
      </c>
      <c r="J15" s="354"/>
      <c r="K15" s="350"/>
      <c r="L15" s="350"/>
      <c r="M15" s="346">
        <v>160</v>
      </c>
      <c r="N15" s="346">
        <v>3</v>
      </c>
      <c r="O15" s="346">
        <v>320</v>
      </c>
      <c r="P15" s="346">
        <v>1920</v>
      </c>
      <c r="Q15" s="352">
        <f>[2]Balquidder!G26</f>
        <v>18917.736000000001</v>
      </c>
      <c r="R15" s="352">
        <f>[2]Balquidder!G32</f>
        <v>2900</v>
      </c>
      <c r="S15" s="353">
        <f>O15*$Q$3</f>
        <v>1923.1999999999998</v>
      </c>
      <c r="T15" s="353">
        <f>P15*$Q$4</f>
        <v>16156.8</v>
      </c>
      <c r="U15" s="354">
        <f>N15/$U$1</f>
        <v>5.4545454545454543E-2</v>
      </c>
      <c r="V15" s="355">
        <f>IF(M15=0,0,U15*$U$3)</f>
        <v>27.27272727272727</v>
      </c>
      <c r="W15" s="353">
        <f>M15*U15</f>
        <v>8.7272727272727266</v>
      </c>
      <c r="X15" s="353">
        <f>U15*(M15*$U$2)</f>
        <v>34.909090909090907</v>
      </c>
      <c r="Y15" s="353">
        <f>U15*(M15*$AF$3)</f>
        <v>104.90181818181817</v>
      </c>
      <c r="Z15" s="353">
        <f>U15*(M15*$U$2)*$AF$4</f>
        <v>587.51999999999987</v>
      </c>
      <c r="AA15" s="353">
        <f>Y15+Z15</f>
        <v>692.42181818181803</v>
      </c>
      <c r="AB15" s="350">
        <f>Q15+R15+S15+T15+V15+AA15</f>
        <v>40617.430545454554</v>
      </c>
      <c r="AC15" s="231">
        <v>0</v>
      </c>
      <c r="AD15" s="231">
        <v>0</v>
      </c>
      <c r="AE15" s="231">
        <f t="shared" ref="AE15:AE53" si="2">AC15*AD15</f>
        <v>0</v>
      </c>
      <c r="AF15" s="236">
        <f t="shared" ref="AF15:AF53" si="3">AC15*$AF$3</f>
        <v>0</v>
      </c>
      <c r="AG15" s="236">
        <f t="shared" ref="AG15:AG53" si="4">AE15*$AF$4</f>
        <v>0</v>
      </c>
      <c r="AH15" s="239">
        <f t="shared" ref="AH15:AH53" si="5">(AF15+AG15)</f>
        <v>0</v>
      </c>
      <c r="AI15" s="240">
        <f t="shared" ref="AI15:AI53" si="6">$AF$6</f>
        <v>0.05</v>
      </c>
      <c r="AJ15" s="241">
        <f t="shared" ref="AJ15:AJ53" si="7">AC15*AI15</f>
        <v>0</v>
      </c>
      <c r="AK15" s="241">
        <f t="shared" ref="AK15:AK53" si="8">AE15*AI15</f>
        <v>0</v>
      </c>
      <c r="AL15" s="239">
        <f t="shared" ref="AL15:AL53" si="9">AH15*AI15</f>
        <v>0</v>
      </c>
      <c r="AM15" s="239">
        <f t="shared" ref="AM15:AM53" si="10">AF15*AI15</f>
        <v>0</v>
      </c>
      <c r="AN15" s="239">
        <f t="shared" ref="AN15:AN53" si="11">AG15*AI15</f>
        <v>0</v>
      </c>
      <c r="AO15" s="242">
        <f t="shared" ref="AO15:AO53" si="12">AB15+AH15</f>
        <v>40617.430545454554</v>
      </c>
      <c r="AP15" s="172">
        <f t="shared" si="0"/>
        <v>37716.767387559819</v>
      </c>
      <c r="AQ15" s="243">
        <f t="shared" ref="AQ15:AQ53" si="13">AB15+AL15</f>
        <v>40617.430545454554</v>
      </c>
      <c r="AR15" s="243">
        <f t="shared" si="1"/>
        <v>37716.767387559819</v>
      </c>
    </row>
    <row r="16" spans="1:44" s="365" customFormat="1" ht="15" x14ac:dyDescent="0.25">
      <c r="A16" s="356"/>
      <c r="B16" s="356" t="s">
        <v>533</v>
      </c>
      <c r="C16" s="357" t="s">
        <v>531</v>
      </c>
      <c r="D16" s="357" t="s">
        <v>534</v>
      </c>
      <c r="E16" s="357" t="s">
        <v>535</v>
      </c>
      <c r="F16" s="357" t="s">
        <v>536</v>
      </c>
      <c r="G16" s="358">
        <v>42855</v>
      </c>
      <c r="H16" s="359">
        <v>9</v>
      </c>
      <c r="I16" s="357">
        <v>9</v>
      </c>
      <c r="J16" s="360"/>
      <c r="K16" s="360"/>
      <c r="L16" s="360"/>
      <c r="M16" s="357">
        <v>120</v>
      </c>
      <c r="N16" s="357">
        <v>10</v>
      </c>
      <c r="O16" s="357">
        <v>240</v>
      </c>
      <c r="P16" s="357">
        <v>1016</v>
      </c>
      <c r="Q16" s="361">
        <f>[2]Rannoch!G26</f>
        <v>49890.063999999998</v>
      </c>
      <c r="R16" s="361">
        <f>[2]Rannoch!G32</f>
        <v>10696</v>
      </c>
      <c r="S16" s="362">
        <f>O16*$Q$3</f>
        <v>1442.3999999999999</v>
      </c>
      <c r="T16" s="362">
        <f>P16*$Q$4</f>
        <v>8549.64</v>
      </c>
      <c r="U16" s="363">
        <f>N16/$U$1</f>
        <v>0.18181818181818182</v>
      </c>
      <c r="V16" s="364">
        <f>IF(M16=0,0,U16*$U$3)</f>
        <v>90.909090909090907</v>
      </c>
      <c r="W16" s="362">
        <f>M16*U16</f>
        <v>21.81818181818182</v>
      </c>
      <c r="X16" s="362">
        <f>U16*(M16*$U$2)</f>
        <v>87.27272727272728</v>
      </c>
      <c r="Y16" s="362">
        <f>U16*(M16*$AF$3)</f>
        <v>262.25454545454545</v>
      </c>
      <c r="Z16" s="362">
        <f>U16*(M16*$U$2)*$AF$4</f>
        <v>1468.8</v>
      </c>
      <c r="AA16" s="362">
        <f>Y16+Z16</f>
        <v>1731.0545454545454</v>
      </c>
      <c r="AB16" s="360">
        <f>Q16+R16+S16+T16+V16+AA16</f>
        <v>72400.06763636363</v>
      </c>
      <c r="AC16" s="271">
        <v>2100</v>
      </c>
      <c r="AD16" s="271">
        <v>8</v>
      </c>
      <c r="AE16" s="271">
        <f t="shared" si="2"/>
        <v>16800</v>
      </c>
      <c r="AF16" s="238">
        <f t="shared" si="3"/>
        <v>25242</v>
      </c>
      <c r="AG16" s="238">
        <f t="shared" si="4"/>
        <v>282744</v>
      </c>
      <c r="AH16" s="288">
        <f t="shared" si="5"/>
        <v>307986</v>
      </c>
      <c r="AI16" s="289">
        <f t="shared" si="6"/>
        <v>0.05</v>
      </c>
      <c r="AJ16" s="290">
        <f t="shared" si="7"/>
        <v>105</v>
      </c>
      <c r="AK16" s="290">
        <f t="shared" si="8"/>
        <v>840</v>
      </c>
      <c r="AL16" s="288">
        <f t="shared" si="9"/>
        <v>15399.300000000001</v>
      </c>
      <c r="AM16" s="288">
        <f t="shared" si="10"/>
        <v>1262.1000000000001</v>
      </c>
      <c r="AN16" s="288">
        <f t="shared" si="11"/>
        <v>14137.2</v>
      </c>
      <c r="AO16" s="242">
        <f t="shared" si="12"/>
        <v>380386.06763636362</v>
      </c>
      <c r="AP16" s="172">
        <f t="shared" si="0"/>
        <v>367333.08342583728</v>
      </c>
      <c r="AQ16" s="243">
        <f t="shared" si="13"/>
        <v>87799.367636363633</v>
      </c>
      <c r="AR16" s="243">
        <f t="shared" si="1"/>
        <v>74746.383425837324</v>
      </c>
    </row>
    <row r="17" spans="1:44" s="380" customFormat="1" ht="15" x14ac:dyDescent="0.25">
      <c r="A17" s="366"/>
      <c r="B17" s="366" t="s">
        <v>533</v>
      </c>
      <c r="C17" s="367" t="s">
        <v>537</v>
      </c>
      <c r="D17" s="367" t="s">
        <v>538</v>
      </c>
      <c r="E17" s="367" t="s">
        <v>539</v>
      </c>
      <c r="F17" s="367" t="s">
        <v>540</v>
      </c>
      <c r="G17" s="368">
        <v>42855</v>
      </c>
      <c r="H17" s="369">
        <v>5</v>
      </c>
      <c r="I17" s="367">
        <v>5</v>
      </c>
      <c r="J17" s="370"/>
      <c r="K17" s="370"/>
      <c r="L17" s="370"/>
      <c r="M17" s="371"/>
      <c r="N17" s="371"/>
      <c r="O17" s="371"/>
      <c r="P17" s="371"/>
      <c r="Q17" s="372"/>
      <c r="R17" s="372"/>
      <c r="S17" s="362">
        <f t="shared" ref="S17:S53" si="14">O17*$Q$3</f>
        <v>0</v>
      </c>
      <c r="T17" s="362">
        <f t="shared" ref="T17:T53" si="15">P17*$Q$4</f>
        <v>0</v>
      </c>
      <c r="U17" s="363">
        <f t="shared" ref="U17:U53" si="16">N17/$U$1</f>
        <v>0</v>
      </c>
      <c r="V17" s="364">
        <f t="shared" ref="V17:V53" si="17">IF(M17=0,0,U17*$U$3)</f>
        <v>0</v>
      </c>
      <c r="W17" s="362">
        <f t="shared" ref="W17:W53" si="18">M17*U17</f>
        <v>0</v>
      </c>
      <c r="X17" s="362">
        <f t="shared" ref="X17:X53" si="19">U17*(M17*$U$2)</f>
        <v>0</v>
      </c>
      <c r="Y17" s="362">
        <f t="shared" ref="Y17:Y53" si="20">U17*(M17*$AF$3)</f>
        <v>0</v>
      </c>
      <c r="Z17" s="362">
        <f t="shared" ref="Z17:Z53" si="21">U17*(M17*$U$2)*$AF$4</f>
        <v>0</v>
      </c>
      <c r="AA17" s="362">
        <f t="shared" ref="AA17:AA53" si="22">Y17+Z17</f>
        <v>0</v>
      </c>
      <c r="AB17" s="360">
        <f t="shared" ref="AB17:AB53" si="23">Q17+R17+S17+T17+V17+AA17</f>
        <v>0</v>
      </c>
      <c r="AC17" s="373"/>
      <c r="AD17" s="373"/>
      <c r="AE17" s="373">
        <f t="shared" si="2"/>
        <v>0</v>
      </c>
      <c r="AF17" s="374">
        <f t="shared" si="3"/>
        <v>0</v>
      </c>
      <c r="AG17" s="374">
        <f t="shared" si="4"/>
        <v>0</v>
      </c>
      <c r="AH17" s="375">
        <f t="shared" si="5"/>
        <v>0</v>
      </c>
      <c r="AI17" s="376">
        <f t="shared" si="6"/>
        <v>0.05</v>
      </c>
      <c r="AJ17" s="377">
        <f t="shared" si="7"/>
        <v>0</v>
      </c>
      <c r="AK17" s="377">
        <f t="shared" si="8"/>
        <v>0</v>
      </c>
      <c r="AL17" s="375">
        <f t="shared" si="9"/>
        <v>0</v>
      </c>
      <c r="AM17" s="375">
        <f t="shared" si="10"/>
        <v>0</v>
      </c>
      <c r="AN17" s="375">
        <f t="shared" si="11"/>
        <v>0</v>
      </c>
      <c r="AO17" s="312">
        <f t="shared" si="12"/>
        <v>0</v>
      </c>
      <c r="AP17" s="378">
        <f t="shared" si="0"/>
        <v>-7251.6578947368416</v>
      </c>
      <c r="AQ17" s="379">
        <f t="shared" si="13"/>
        <v>0</v>
      </c>
      <c r="AR17" s="379">
        <f t="shared" si="1"/>
        <v>-7251.6578947368416</v>
      </c>
    </row>
    <row r="18" spans="1:44" ht="15" x14ac:dyDescent="0.25">
      <c r="A18" s="381" t="s">
        <v>541</v>
      </c>
      <c r="B18" s="249" t="s">
        <v>533</v>
      </c>
      <c r="C18" s="249" t="s">
        <v>531</v>
      </c>
      <c r="D18" s="249" t="s">
        <v>534</v>
      </c>
      <c r="E18" s="249" t="s">
        <v>535</v>
      </c>
      <c r="F18" s="249" t="s">
        <v>536</v>
      </c>
      <c r="G18" s="260">
        <v>42860</v>
      </c>
      <c r="H18" s="252">
        <v>4</v>
      </c>
      <c r="I18" s="249">
        <v>4</v>
      </c>
      <c r="J18" s="382">
        <f>SUM(I18:I21)/(($K$8-$K$9)/$K$10)</f>
        <v>0.55200000000000005</v>
      </c>
      <c r="K18" s="383">
        <v>24000</v>
      </c>
      <c r="L18" s="384">
        <v>18462.72</v>
      </c>
      <c r="M18" s="385"/>
      <c r="N18" s="385"/>
      <c r="O18" s="385"/>
      <c r="P18" s="385"/>
      <c r="Q18" s="386"/>
      <c r="R18" s="387"/>
      <c r="S18" s="388">
        <f t="shared" si="14"/>
        <v>0</v>
      </c>
      <c r="T18" s="388">
        <f t="shared" si="15"/>
        <v>0</v>
      </c>
      <c r="U18" s="389">
        <f t="shared" si="16"/>
        <v>0</v>
      </c>
      <c r="V18" s="390">
        <f t="shared" si="17"/>
        <v>0</v>
      </c>
      <c r="W18" s="388">
        <f t="shared" si="18"/>
        <v>0</v>
      </c>
      <c r="X18" s="388">
        <f t="shared" si="19"/>
        <v>0</v>
      </c>
      <c r="Y18" s="388">
        <f t="shared" si="20"/>
        <v>0</v>
      </c>
      <c r="Z18" s="388">
        <f t="shared" si="21"/>
        <v>0</v>
      </c>
      <c r="AA18" s="388">
        <f t="shared" si="22"/>
        <v>0</v>
      </c>
      <c r="AB18" s="391">
        <f t="shared" si="23"/>
        <v>0</v>
      </c>
      <c r="AC18" s="387"/>
      <c r="AD18" s="387"/>
      <c r="AE18" s="392">
        <f t="shared" si="2"/>
        <v>0</v>
      </c>
      <c r="AF18" s="393">
        <f t="shared" si="3"/>
        <v>0</v>
      </c>
      <c r="AG18" s="393">
        <f t="shared" si="4"/>
        <v>0</v>
      </c>
      <c r="AH18" s="394">
        <f t="shared" si="5"/>
        <v>0</v>
      </c>
      <c r="AI18" s="395">
        <f t="shared" si="6"/>
        <v>0.05</v>
      </c>
      <c r="AJ18" s="396">
        <f t="shared" si="7"/>
        <v>0</v>
      </c>
      <c r="AK18" s="396">
        <f t="shared" si="8"/>
        <v>0</v>
      </c>
      <c r="AL18" s="394">
        <f t="shared" si="9"/>
        <v>0</v>
      </c>
      <c r="AM18" s="394">
        <f t="shared" si="10"/>
        <v>0</v>
      </c>
      <c r="AN18" s="394">
        <f t="shared" si="11"/>
        <v>0</v>
      </c>
      <c r="AO18" s="242">
        <f t="shared" si="12"/>
        <v>0</v>
      </c>
      <c r="AP18" s="172">
        <f t="shared" si="0"/>
        <v>-5801.3263157894735</v>
      </c>
      <c r="AQ18" s="243">
        <f t="shared" si="13"/>
        <v>0</v>
      </c>
      <c r="AR18" s="243">
        <f t="shared" si="1"/>
        <v>-5801.3263157894735</v>
      </c>
    </row>
    <row r="19" spans="1:44" ht="15" x14ac:dyDescent="0.25">
      <c r="A19" s="381"/>
      <c r="B19" s="249" t="s">
        <v>533</v>
      </c>
      <c r="C19" s="249" t="s">
        <v>542</v>
      </c>
      <c r="D19" s="249" t="s">
        <v>543</v>
      </c>
      <c r="E19" s="249" t="s">
        <v>544</v>
      </c>
      <c r="F19" s="249" t="s">
        <v>391</v>
      </c>
      <c r="G19" s="260">
        <v>42886</v>
      </c>
      <c r="H19" s="252">
        <v>13</v>
      </c>
      <c r="I19" s="249">
        <v>13</v>
      </c>
      <c r="J19" s="397"/>
      <c r="K19" s="383"/>
      <c r="L19" s="383"/>
      <c r="M19" s="387">
        <v>115</v>
      </c>
      <c r="N19" s="387">
        <v>20</v>
      </c>
      <c r="O19" s="387">
        <v>230</v>
      </c>
      <c r="P19" s="387">
        <v>1380</v>
      </c>
      <c r="Q19" s="386">
        <f>[2]Kennelhill!G26</f>
        <v>89664.265599999999</v>
      </c>
      <c r="R19" s="387">
        <f>[2]Kennelhill!G32</f>
        <v>20256</v>
      </c>
      <c r="S19" s="388">
        <f t="shared" si="14"/>
        <v>1382.3</v>
      </c>
      <c r="T19" s="388">
        <f t="shared" si="15"/>
        <v>11612.699999999999</v>
      </c>
      <c r="U19" s="389">
        <f t="shared" si="16"/>
        <v>0.36363636363636365</v>
      </c>
      <c r="V19" s="390">
        <f t="shared" si="17"/>
        <v>181.81818181818181</v>
      </c>
      <c r="W19" s="388">
        <f t="shared" si="18"/>
        <v>41.81818181818182</v>
      </c>
      <c r="X19" s="388">
        <f t="shared" si="19"/>
        <v>167.27272727272728</v>
      </c>
      <c r="Y19" s="388">
        <f t="shared" si="20"/>
        <v>502.65454545454543</v>
      </c>
      <c r="Z19" s="388">
        <f t="shared" si="21"/>
        <v>2815.2</v>
      </c>
      <c r="AA19" s="388">
        <f t="shared" si="22"/>
        <v>3317.8545454545451</v>
      </c>
      <c r="AB19" s="391">
        <f t="shared" si="23"/>
        <v>126414.93832727271</v>
      </c>
      <c r="AC19" s="387">
        <v>874</v>
      </c>
      <c r="AD19" s="387">
        <v>6</v>
      </c>
      <c r="AE19" s="392">
        <f t="shared" si="2"/>
        <v>5244</v>
      </c>
      <c r="AF19" s="393">
        <f t="shared" si="3"/>
        <v>10505.48</v>
      </c>
      <c r="AG19" s="393">
        <f t="shared" si="4"/>
        <v>88256.51999999999</v>
      </c>
      <c r="AH19" s="394">
        <f t="shared" si="5"/>
        <v>98761.999999999985</v>
      </c>
      <c r="AI19" s="395">
        <f t="shared" si="6"/>
        <v>0.05</v>
      </c>
      <c r="AJ19" s="396">
        <f t="shared" si="7"/>
        <v>43.7</v>
      </c>
      <c r="AK19" s="396">
        <f t="shared" si="8"/>
        <v>262.2</v>
      </c>
      <c r="AL19" s="394">
        <f t="shared" si="9"/>
        <v>4938.0999999999995</v>
      </c>
      <c r="AM19" s="394">
        <f t="shared" si="10"/>
        <v>525.274</v>
      </c>
      <c r="AN19" s="394">
        <f t="shared" si="11"/>
        <v>4412.826</v>
      </c>
      <c r="AO19" s="242">
        <f t="shared" si="12"/>
        <v>225176.93832727271</v>
      </c>
      <c r="AP19" s="172">
        <f t="shared" si="0"/>
        <v>206322.62780095692</v>
      </c>
      <c r="AQ19" s="243">
        <f t="shared" si="13"/>
        <v>131353.03832727272</v>
      </c>
      <c r="AR19" s="243">
        <f t="shared" si="1"/>
        <v>112498.72780095693</v>
      </c>
    </row>
    <row r="20" spans="1:44" ht="15" x14ac:dyDescent="0.25">
      <c r="A20" s="381"/>
      <c r="B20" s="249" t="s">
        <v>526</v>
      </c>
      <c r="C20" s="249" t="s">
        <v>531</v>
      </c>
      <c r="D20" s="249" t="s">
        <v>532</v>
      </c>
      <c r="E20" s="249" t="s">
        <v>532</v>
      </c>
      <c r="F20" s="249" t="s">
        <v>405</v>
      </c>
      <c r="G20" s="260">
        <v>42859</v>
      </c>
      <c r="H20" s="252">
        <v>1</v>
      </c>
      <c r="I20" s="249">
        <v>1</v>
      </c>
      <c r="J20" s="383"/>
      <c r="K20" s="383"/>
      <c r="L20" s="383"/>
      <c r="M20" s="385"/>
      <c r="N20" s="385"/>
      <c r="O20" s="385"/>
      <c r="P20" s="385"/>
      <c r="Q20" s="386"/>
      <c r="R20" s="387"/>
      <c r="S20" s="388">
        <f t="shared" si="14"/>
        <v>0</v>
      </c>
      <c r="T20" s="388">
        <f t="shared" si="15"/>
        <v>0</v>
      </c>
      <c r="U20" s="389">
        <f t="shared" si="16"/>
        <v>0</v>
      </c>
      <c r="V20" s="390">
        <f t="shared" si="17"/>
        <v>0</v>
      </c>
      <c r="W20" s="388">
        <f t="shared" si="18"/>
        <v>0</v>
      </c>
      <c r="X20" s="388">
        <f t="shared" si="19"/>
        <v>0</v>
      </c>
      <c r="Y20" s="388">
        <f t="shared" si="20"/>
        <v>0</v>
      </c>
      <c r="Z20" s="388">
        <f t="shared" si="21"/>
        <v>0</v>
      </c>
      <c r="AA20" s="388">
        <f t="shared" si="22"/>
        <v>0</v>
      </c>
      <c r="AB20" s="391">
        <f t="shared" si="23"/>
        <v>0</v>
      </c>
      <c r="AC20" s="387"/>
      <c r="AD20" s="387"/>
      <c r="AE20" s="392">
        <f t="shared" si="2"/>
        <v>0</v>
      </c>
      <c r="AF20" s="393">
        <f t="shared" si="3"/>
        <v>0</v>
      </c>
      <c r="AG20" s="393">
        <f t="shared" si="4"/>
        <v>0</v>
      </c>
      <c r="AH20" s="394">
        <f t="shared" si="5"/>
        <v>0</v>
      </c>
      <c r="AI20" s="395">
        <f t="shared" si="6"/>
        <v>0.05</v>
      </c>
      <c r="AJ20" s="396">
        <f t="shared" si="7"/>
        <v>0</v>
      </c>
      <c r="AK20" s="396">
        <f t="shared" si="8"/>
        <v>0</v>
      </c>
      <c r="AL20" s="394">
        <f t="shared" si="9"/>
        <v>0</v>
      </c>
      <c r="AM20" s="394">
        <f t="shared" si="10"/>
        <v>0</v>
      </c>
      <c r="AN20" s="394">
        <f t="shared" si="11"/>
        <v>0</v>
      </c>
      <c r="AO20" s="242">
        <f t="shared" si="12"/>
        <v>0</v>
      </c>
      <c r="AP20" s="172">
        <f t="shared" si="0"/>
        <v>-1450.3315789473684</v>
      </c>
      <c r="AQ20" s="243">
        <f t="shared" si="13"/>
        <v>0</v>
      </c>
      <c r="AR20" s="243">
        <f t="shared" si="1"/>
        <v>-1450.3315789473684</v>
      </c>
    </row>
    <row r="21" spans="1:44" s="408" customFormat="1" ht="15" x14ac:dyDescent="0.25">
      <c r="A21" s="398"/>
      <c r="B21" s="264" t="s">
        <v>526</v>
      </c>
      <c r="C21" s="264" t="s">
        <v>537</v>
      </c>
      <c r="D21" s="264" t="s">
        <v>534</v>
      </c>
      <c r="E21" s="264" t="s">
        <v>545</v>
      </c>
      <c r="F21" s="264" t="s">
        <v>540</v>
      </c>
      <c r="G21" s="262">
        <v>42875</v>
      </c>
      <c r="H21" s="263">
        <v>5</v>
      </c>
      <c r="I21" s="264">
        <v>5</v>
      </c>
      <c r="J21" s="399"/>
      <c r="K21" s="399"/>
      <c r="L21" s="399"/>
      <c r="M21" s="400"/>
      <c r="N21" s="400"/>
      <c r="O21" s="400"/>
      <c r="P21" s="400"/>
      <c r="Q21" s="401"/>
      <c r="R21" s="402"/>
      <c r="S21" s="388">
        <f t="shared" si="14"/>
        <v>0</v>
      </c>
      <c r="T21" s="388">
        <f t="shared" si="15"/>
        <v>0</v>
      </c>
      <c r="U21" s="389">
        <f t="shared" si="16"/>
        <v>0</v>
      </c>
      <c r="V21" s="390">
        <f t="shared" si="17"/>
        <v>0</v>
      </c>
      <c r="W21" s="388">
        <f t="shared" si="18"/>
        <v>0</v>
      </c>
      <c r="X21" s="388">
        <f t="shared" si="19"/>
        <v>0</v>
      </c>
      <c r="Y21" s="388">
        <f t="shared" si="20"/>
        <v>0</v>
      </c>
      <c r="Z21" s="388">
        <f t="shared" si="21"/>
        <v>0</v>
      </c>
      <c r="AA21" s="388">
        <f t="shared" si="22"/>
        <v>0</v>
      </c>
      <c r="AB21" s="391">
        <f t="shared" si="23"/>
        <v>0</v>
      </c>
      <c r="AC21" s="402"/>
      <c r="AD21" s="402"/>
      <c r="AE21" s="403">
        <f t="shared" si="2"/>
        <v>0</v>
      </c>
      <c r="AF21" s="404">
        <f t="shared" si="3"/>
        <v>0</v>
      </c>
      <c r="AG21" s="404">
        <f t="shared" si="4"/>
        <v>0</v>
      </c>
      <c r="AH21" s="405">
        <f t="shared" si="5"/>
        <v>0</v>
      </c>
      <c r="AI21" s="406">
        <f t="shared" si="6"/>
        <v>0.05</v>
      </c>
      <c r="AJ21" s="407">
        <f t="shared" si="7"/>
        <v>0</v>
      </c>
      <c r="AK21" s="407">
        <f t="shared" si="8"/>
        <v>0</v>
      </c>
      <c r="AL21" s="405">
        <f t="shared" si="9"/>
        <v>0</v>
      </c>
      <c r="AM21" s="405">
        <f t="shared" si="10"/>
        <v>0</v>
      </c>
      <c r="AN21" s="405">
        <f t="shared" si="11"/>
        <v>0</v>
      </c>
      <c r="AO21" s="312">
        <f t="shared" si="12"/>
        <v>0</v>
      </c>
      <c r="AP21" s="378">
        <f t="shared" si="0"/>
        <v>-7251.6578947368416</v>
      </c>
      <c r="AQ21" s="379">
        <f t="shared" si="13"/>
        <v>0</v>
      </c>
      <c r="AR21" s="379">
        <f t="shared" si="1"/>
        <v>-7251.6578947368416</v>
      </c>
    </row>
    <row r="22" spans="1:44" ht="15" x14ac:dyDescent="0.25">
      <c r="A22" s="345" t="s">
        <v>546</v>
      </c>
      <c r="B22" s="345" t="s">
        <v>533</v>
      </c>
      <c r="C22" s="266" t="s">
        <v>542</v>
      </c>
      <c r="D22" s="266" t="s">
        <v>543</v>
      </c>
      <c r="E22" s="266" t="s">
        <v>544</v>
      </c>
      <c r="F22" s="266" t="s">
        <v>391</v>
      </c>
      <c r="G22" s="268">
        <v>42895</v>
      </c>
      <c r="H22" s="269">
        <v>7</v>
      </c>
      <c r="I22" s="266">
        <v>7</v>
      </c>
      <c r="J22" s="349">
        <f>SUM(I22:I24)/(($K$8-$K$9)/$K$10)</f>
        <v>0.88800000000000001</v>
      </c>
      <c r="K22" s="350">
        <v>24000</v>
      </c>
      <c r="L22" s="351">
        <v>19321.939999999999</v>
      </c>
      <c r="M22" s="409"/>
      <c r="N22" s="410"/>
      <c r="O22" s="409"/>
      <c r="P22" s="409"/>
      <c r="Q22" s="411"/>
      <c r="R22" s="296"/>
      <c r="S22" s="362">
        <f t="shared" si="14"/>
        <v>0</v>
      </c>
      <c r="T22" s="362">
        <f t="shared" si="15"/>
        <v>0</v>
      </c>
      <c r="U22" s="363">
        <f t="shared" si="16"/>
        <v>0</v>
      </c>
      <c r="V22" s="364">
        <f t="shared" si="17"/>
        <v>0</v>
      </c>
      <c r="W22" s="362">
        <f t="shared" si="18"/>
        <v>0</v>
      </c>
      <c r="X22" s="362">
        <f t="shared" si="19"/>
        <v>0</v>
      </c>
      <c r="Y22" s="362">
        <f t="shared" si="20"/>
        <v>0</v>
      </c>
      <c r="Z22" s="362">
        <f t="shared" si="21"/>
        <v>0</v>
      </c>
      <c r="AA22" s="362">
        <f t="shared" si="22"/>
        <v>0</v>
      </c>
      <c r="AB22" s="360">
        <f t="shared" si="23"/>
        <v>0</v>
      </c>
      <c r="AC22" s="296"/>
      <c r="AD22" s="296"/>
      <c r="AE22" s="412">
        <f t="shared" si="2"/>
        <v>0</v>
      </c>
      <c r="AF22" s="413">
        <f t="shared" si="3"/>
        <v>0</v>
      </c>
      <c r="AG22" s="413">
        <f t="shared" si="4"/>
        <v>0</v>
      </c>
      <c r="AH22" s="414">
        <f t="shared" si="5"/>
        <v>0</v>
      </c>
      <c r="AI22" s="415">
        <f t="shared" si="6"/>
        <v>0.05</v>
      </c>
      <c r="AJ22" s="416">
        <f t="shared" si="7"/>
        <v>0</v>
      </c>
      <c r="AK22" s="416">
        <f t="shared" si="8"/>
        <v>0</v>
      </c>
      <c r="AL22" s="414">
        <f t="shared" si="9"/>
        <v>0</v>
      </c>
      <c r="AM22" s="414">
        <f t="shared" si="10"/>
        <v>0</v>
      </c>
      <c r="AN22" s="414">
        <f t="shared" si="11"/>
        <v>0</v>
      </c>
      <c r="AO22" s="242">
        <f t="shared" si="12"/>
        <v>0</v>
      </c>
      <c r="AP22" s="172">
        <f t="shared" si="0"/>
        <v>-10152.321052631578</v>
      </c>
      <c r="AQ22" s="243">
        <f t="shared" si="13"/>
        <v>0</v>
      </c>
      <c r="AR22" s="243">
        <f t="shared" si="1"/>
        <v>-10152.321052631578</v>
      </c>
    </row>
    <row r="23" spans="1:44" ht="15" x14ac:dyDescent="0.25">
      <c r="A23" s="345"/>
      <c r="B23" s="345" t="s">
        <v>533</v>
      </c>
      <c r="C23" s="266" t="s">
        <v>547</v>
      </c>
      <c r="D23" s="266" t="s">
        <v>548</v>
      </c>
      <c r="E23" s="266" t="s">
        <v>549</v>
      </c>
      <c r="F23" s="266" t="s">
        <v>405</v>
      </c>
      <c r="G23" s="268">
        <v>42916</v>
      </c>
      <c r="H23" s="269">
        <v>15</v>
      </c>
      <c r="I23" s="266">
        <v>15</v>
      </c>
      <c r="J23" s="354"/>
      <c r="K23" s="350"/>
      <c r="L23" s="350"/>
      <c r="M23" s="266">
        <v>423</v>
      </c>
      <c r="N23" s="266">
        <v>15</v>
      </c>
      <c r="O23" s="266">
        <v>846</v>
      </c>
      <c r="P23" s="266">
        <v>5076</v>
      </c>
      <c r="Q23" s="417">
        <f>[2]Ord!G26</f>
        <v>88338.207999999999</v>
      </c>
      <c r="R23" s="266">
        <f>[2]Ord!G32</f>
        <v>7388</v>
      </c>
      <c r="S23" s="362">
        <f t="shared" si="14"/>
        <v>5084.46</v>
      </c>
      <c r="T23" s="362">
        <f t="shared" si="15"/>
        <v>42714.539999999994</v>
      </c>
      <c r="U23" s="363">
        <f t="shared" si="16"/>
        <v>0.27272727272727271</v>
      </c>
      <c r="V23" s="364">
        <f t="shared" si="17"/>
        <v>136.36363636363635</v>
      </c>
      <c r="W23" s="362">
        <f t="shared" si="18"/>
        <v>115.36363636363636</v>
      </c>
      <c r="X23" s="362">
        <f t="shared" si="19"/>
        <v>461.45454545454544</v>
      </c>
      <c r="Y23" s="362">
        <f t="shared" si="20"/>
        <v>1386.6709090909089</v>
      </c>
      <c r="Z23" s="362">
        <f t="shared" si="21"/>
        <v>7766.2799999999988</v>
      </c>
      <c r="AA23" s="362">
        <f t="shared" si="22"/>
        <v>9152.9509090909087</v>
      </c>
      <c r="AB23" s="360">
        <f t="shared" si="23"/>
        <v>152814.52254545453</v>
      </c>
      <c r="AC23" s="266">
        <v>569</v>
      </c>
      <c r="AD23" s="266">
        <v>8</v>
      </c>
      <c r="AE23" s="412">
        <f t="shared" si="2"/>
        <v>4552</v>
      </c>
      <c r="AF23" s="413">
        <f t="shared" si="3"/>
        <v>6839.38</v>
      </c>
      <c r="AG23" s="413">
        <f t="shared" si="4"/>
        <v>76610.159999999989</v>
      </c>
      <c r="AH23" s="414">
        <f t="shared" si="5"/>
        <v>83449.539999999994</v>
      </c>
      <c r="AI23" s="415">
        <f t="shared" si="6"/>
        <v>0.05</v>
      </c>
      <c r="AJ23" s="416">
        <f t="shared" si="7"/>
        <v>28.450000000000003</v>
      </c>
      <c r="AK23" s="416">
        <f t="shared" si="8"/>
        <v>227.60000000000002</v>
      </c>
      <c r="AL23" s="414">
        <f t="shared" si="9"/>
        <v>4172.4769999999999</v>
      </c>
      <c r="AM23" s="414">
        <f t="shared" si="10"/>
        <v>341.96900000000005</v>
      </c>
      <c r="AN23" s="414">
        <f t="shared" si="11"/>
        <v>3830.5079999999998</v>
      </c>
      <c r="AO23" s="242">
        <f t="shared" si="12"/>
        <v>236264.06254545454</v>
      </c>
      <c r="AP23" s="172">
        <f t="shared" si="0"/>
        <v>214509.088861244</v>
      </c>
      <c r="AQ23" s="243">
        <f t="shared" si="13"/>
        <v>156986.99954545454</v>
      </c>
      <c r="AR23" s="243">
        <f t="shared" si="1"/>
        <v>135232.02586124401</v>
      </c>
    </row>
    <row r="24" spans="1:44" s="408" customFormat="1" ht="15" x14ac:dyDescent="0.25">
      <c r="A24" s="418"/>
      <c r="B24" s="418" t="s">
        <v>526</v>
      </c>
      <c r="C24" s="275" t="s">
        <v>537</v>
      </c>
      <c r="D24" s="275" t="s">
        <v>534</v>
      </c>
      <c r="E24" s="275" t="s">
        <v>545</v>
      </c>
      <c r="F24" s="275" t="s">
        <v>540</v>
      </c>
      <c r="G24" s="273">
        <v>42911</v>
      </c>
      <c r="H24" s="274">
        <v>15</v>
      </c>
      <c r="I24" s="275">
        <v>15</v>
      </c>
      <c r="J24" s="419"/>
      <c r="K24" s="419"/>
      <c r="L24" s="419"/>
      <c r="M24" s="400"/>
      <c r="N24" s="400"/>
      <c r="O24" s="400"/>
      <c r="P24" s="400"/>
      <c r="Q24" s="420"/>
      <c r="R24" s="421"/>
      <c r="S24" s="362">
        <f t="shared" si="14"/>
        <v>0</v>
      </c>
      <c r="T24" s="362">
        <f t="shared" si="15"/>
        <v>0</v>
      </c>
      <c r="U24" s="363">
        <f t="shared" si="16"/>
        <v>0</v>
      </c>
      <c r="V24" s="364">
        <f t="shared" si="17"/>
        <v>0</v>
      </c>
      <c r="W24" s="362">
        <f t="shared" si="18"/>
        <v>0</v>
      </c>
      <c r="X24" s="362">
        <f t="shared" si="19"/>
        <v>0</v>
      </c>
      <c r="Y24" s="362">
        <f t="shared" si="20"/>
        <v>0</v>
      </c>
      <c r="Z24" s="362">
        <f t="shared" si="21"/>
        <v>0</v>
      </c>
      <c r="AA24" s="362">
        <f t="shared" si="22"/>
        <v>0</v>
      </c>
      <c r="AB24" s="360">
        <f t="shared" si="23"/>
        <v>0</v>
      </c>
      <c r="AC24" s="421"/>
      <c r="AD24" s="421"/>
      <c r="AE24" s="373">
        <f t="shared" si="2"/>
        <v>0</v>
      </c>
      <c r="AF24" s="374">
        <f t="shared" si="3"/>
        <v>0</v>
      </c>
      <c r="AG24" s="374">
        <f t="shared" si="4"/>
        <v>0</v>
      </c>
      <c r="AH24" s="375">
        <f t="shared" si="5"/>
        <v>0</v>
      </c>
      <c r="AI24" s="376">
        <f t="shared" si="6"/>
        <v>0.05</v>
      </c>
      <c r="AJ24" s="377">
        <f t="shared" si="7"/>
        <v>0</v>
      </c>
      <c r="AK24" s="377">
        <f t="shared" si="8"/>
        <v>0</v>
      </c>
      <c r="AL24" s="375">
        <f t="shared" si="9"/>
        <v>0</v>
      </c>
      <c r="AM24" s="375">
        <f t="shared" si="10"/>
        <v>0</v>
      </c>
      <c r="AN24" s="375">
        <f t="shared" si="11"/>
        <v>0</v>
      </c>
      <c r="AO24" s="312">
        <f t="shared" si="12"/>
        <v>0</v>
      </c>
      <c r="AP24" s="378">
        <f t="shared" si="0"/>
        <v>-21754.973684210527</v>
      </c>
      <c r="AQ24" s="379">
        <f t="shared" si="13"/>
        <v>0</v>
      </c>
      <c r="AR24" s="379">
        <f t="shared" si="1"/>
        <v>-21754.973684210527</v>
      </c>
    </row>
    <row r="25" spans="1:44" ht="15" x14ac:dyDescent="0.25">
      <c r="A25" s="381" t="s">
        <v>550</v>
      </c>
      <c r="B25" s="249" t="s">
        <v>533</v>
      </c>
      <c r="C25" s="249" t="s">
        <v>542</v>
      </c>
      <c r="D25" s="249" t="s">
        <v>387</v>
      </c>
      <c r="E25" s="249" t="s">
        <v>551</v>
      </c>
      <c r="F25" s="249" t="s">
        <v>405</v>
      </c>
      <c r="G25" s="260">
        <v>42944</v>
      </c>
      <c r="H25" s="252">
        <v>20</v>
      </c>
      <c r="I25" s="249">
        <v>20</v>
      </c>
      <c r="J25" s="382">
        <f>SUM(I25:I27)/(($K$8-$K$9)/$K$10)</f>
        <v>0.74399999999999999</v>
      </c>
      <c r="K25" s="383">
        <v>24000</v>
      </c>
      <c r="L25" s="384">
        <v>22425.29</v>
      </c>
      <c r="M25" s="249">
        <v>508</v>
      </c>
      <c r="N25" s="249">
        <v>25</v>
      </c>
      <c r="O25" s="249">
        <v>1016</v>
      </c>
      <c r="P25" s="249">
        <v>4064</v>
      </c>
      <c r="Q25" s="422">
        <f>[2]Ormidale!G26</f>
        <v>63925</v>
      </c>
      <c r="R25" s="249">
        <f>[2]Ormidale!G32</f>
        <v>8068</v>
      </c>
      <c r="S25" s="388">
        <f t="shared" si="14"/>
        <v>6106.16</v>
      </c>
      <c r="T25" s="388">
        <f t="shared" si="15"/>
        <v>34198.559999999998</v>
      </c>
      <c r="U25" s="389">
        <f t="shared" si="16"/>
        <v>0.45454545454545453</v>
      </c>
      <c r="V25" s="390">
        <f t="shared" si="17"/>
        <v>227.27272727272725</v>
      </c>
      <c r="W25" s="388">
        <f t="shared" si="18"/>
        <v>230.90909090909091</v>
      </c>
      <c r="X25" s="388">
        <f t="shared" si="19"/>
        <v>923.63636363636363</v>
      </c>
      <c r="Y25" s="388">
        <f t="shared" si="20"/>
        <v>2775.5272727272727</v>
      </c>
      <c r="Z25" s="388">
        <f t="shared" si="21"/>
        <v>15544.799999999997</v>
      </c>
      <c r="AA25" s="388">
        <f t="shared" si="22"/>
        <v>18320.327272727271</v>
      </c>
      <c r="AB25" s="391">
        <f t="shared" si="23"/>
        <v>130845.31999999999</v>
      </c>
      <c r="AC25" s="249">
        <v>602</v>
      </c>
      <c r="AD25" s="249">
        <v>12</v>
      </c>
      <c r="AE25" s="392">
        <f t="shared" si="2"/>
        <v>7224</v>
      </c>
      <c r="AF25" s="393">
        <f t="shared" si="3"/>
        <v>7236.04</v>
      </c>
      <c r="AG25" s="393">
        <f t="shared" si="4"/>
        <v>121579.91999999998</v>
      </c>
      <c r="AH25" s="394">
        <f t="shared" si="5"/>
        <v>128815.95999999998</v>
      </c>
      <c r="AI25" s="395">
        <f t="shared" si="6"/>
        <v>0.05</v>
      </c>
      <c r="AJ25" s="396">
        <f t="shared" si="7"/>
        <v>30.1</v>
      </c>
      <c r="AK25" s="396">
        <f t="shared" si="8"/>
        <v>361.20000000000005</v>
      </c>
      <c r="AL25" s="394">
        <f t="shared" si="9"/>
        <v>6440.7979999999989</v>
      </c>
      <c r="AM25" s="394">
        <f t="shared" si="10"/>
        <v>361.80200000000002</v>
      </c>
      <c r="AN25" s="394">
        <f t="shared" si="11"/>
        <v>6078.9959999999992</v>
      </c>
      <c r="AO25" s="242">
        <f t="shared" si="12"/>
        <v>259661.27999999997</v>
      </c>
      <c r="AP25" s="172">
        <f t="shared" si="0"/>
        <v>230654.64842105261</v>
      </c>
      <c r="AQ25" s="243">
        <f t="shared" si="13"/>
        <v>137286.11799999999</v>
      </c>
      <c r="AR25" s="243">
        <f t="shared" si="1"/>
        <v>108279.48642105263</v>
      </c>
    </row>
    <row r="26" spans="1:44" ht="15" x14ac:dyDescent="0.25">
      <c r="A26" s="381"/>
      <c r="B26" s="249" t="s">
        <v>533</v>
      </c>
      <c r="C26" s="249" t="s">
        <v>547</v>
      </c>
      <c r="D26" s="249" t="s">
        <v>549</v>
      </c>
      <c r="E26" s="249" t="s">
        <v>552</v>
      </c>
      <c r="F26" s="249" t="s">
        <v>553</v>
      </c>
      <c r="G26" s="260">
        <v>42947</v>
      </c>
      <c r="H26" s="252">
        <v>1</v>
      </c>
      <c r="I26" s="249">
        <v>1</v>
      </c>
      <c r="J26" s="397"/>
      <c r="K26" s="383"/>
      <c r="L26" s="383"/>
      <c r="M26" s="249">
        <v>62</v>
      </c>
      <c r="N26" s="249">
        <v>10</v>
      </c>
      <c r="O26" s="249">
        <v>124</v>
      </c>
      <c r="P26" s="249">
        <v>496</v>
      </c>
      <c r="Q26" s="422">
        <f>[2]Balnafoich!G26</f>
        <v>46298.399999999994</v>
      </c>
      <c r="R26" s="422">
        <f>[2]Balnafoich!G32</f>
        <v>39480</v>
      </c>
      <c r="S26" s="388">
        <f t="shared" si="14"/>
        <v>745.24</v>
      </c>
      <c r="T26" s="388">
        <f t="shared" si="15"/>
        <v>4173.8399999999992</v>
      </c>
      <c r="U26" s="389">
        <f t="shared" si="16"/>
        <v>0.18181818181818182</v>
      </c>
      <c r="V26" s="390">
        <f t="shared" si="17"/>
        <v>90.909090909090907</v>
      </c>
      <c r="W26" s="388">
        <f t="shared" si="18"/>
        <v>11.272727272727273</v>
      </c>
      <c r="X26" s="388">
        <f t="shared" si="19"/>
        <v>45.090909090909093</v>
      </c>
      <c r="Y26" s="388">
        <f t="shared" si="20"/>
        <v>135.49818181818182</v>
      </c>
      <c r="Z26" s="388">
        <f t="shared" si="21"/>
        <v>758.88</v>
      </c>
      <c r="AA26" s="388">
        <f t="shared" si="22"/>
        <v>894.37818181818182</v>
      </c>
      <c r="AB26" s="391">
        <f t="shared" si="23"/>
        <v>91682.767272727273</v>
      </c>
      <c r="AC26" s="249">
        <v>0</v>
      </c>
      <c r="AD26" s="249">
        <v>0</v>
      </c>
      <c r="AE26" s="392">
        <f t="shared" si="2"/>
        <v>0</v>
      </c>
      <c r="AF26" s="393">
        <f t="shared" si="3"/>
        <v>0</v>
      </c>
      <c r="AG26" s="393">
        <f t="shared" si="4"/>
        <v>0</v>
      </c>
      <c r="AH26" s="394">
        <f t="shared" si="5"/>
        <v>0</v>
      </c>
      <c r="AI26" s="395">
        <f t="shared" si="6"/>
        <v>0.05</v>
      </c>
      <c r="AJ26" s="396">
        <f t="shared" si="7"/>
        <v>0</v>
      </c>
      <c r="AK26" s="396">
        <f t="shared" si="8"/>
        <v>0</v>
      </c>
      <c r="AL26" s="394">
        <f t="shared" si="9"/>
        <v>0</v>
      </c>
      <c r="AM26" s="394">
        <f t="shared" si="10"/>
        <v>0</v>
      </c>
      <c r="AN26" s="394">
        <f t="shared" si="11"/>
        <v>0</v>
      </c>
      <c r="AO26" s="242">
        <f t="shared" si="12"/>
        <v>91682.767272727273</v>
      </c>
      <c r="AP26" s="172">
        <f t="shared" si="0"/>
        <v>90232.435693779902</v>
      </c>
      <c r="AQ26" s="243">
        <f t="shared" si="13"/>
        <v>91682.767272727273</v>
      </c>
      <c r="AR26" s="243">
        <f t="shared" si="1"/>
        <v>90232.435693779902</v>
      </c>
    </row>
    <row r="27" spans="1:44" s="408" customFormat="1" ht="15" x14ac:dyDescent="0.25">
      <c r="A27" s="398"/>
      <c r="B27" s="264" t="s">
        <v>526</v>
      </c>
      <c r="C27" s="264" t="s">
        <v>537</v>
      </c>
      <c r="D27" s="264" t="s">
        <v>534</v>
      </c>
      <c r="E27" s="264" t="s">
        <v>554</v>
      </c>
      <c r="F27" s="264" t="s">
        <v>540</v>
      </c>
      <c r="G27" s="262">
        <v>42944</v>
      </c>
      <c r="H27" s="263">
        <v>10</v>
      </c>
      <c r="I27" s="264">
        <v>10</v>
      </c>
      <c r="J27" s="399"/>
      <c r="K27" s="399"/>
      <c r="L27" s="399"/>
      <c r="M27" s="400"/>
      <c r="N27" s="400"/>
      <c r="O27" s="400"/>
      <c r="P27" s="400"/>
      <c r="Q27" s="401"/>
      <c r="R27" s="402"/>
      <c r="S27" s="388">
        <f t="shared" si="14"/>
        <v>0</v>
      </c>
      <c r="T27" s="388">
        <f t="shared" si="15"/>
        <v>0</v>
      </c>
      <c r="U27" s="389">
        <f t="shared" si="16"/>
        <v>0</v>
      </c>
      <c r="V27" s="390">
        <f t="shared" si="17"/>
        <v>0</v>
      </c>
      <c r="W27" s="388">
        <f t="shared" si="18"/>
        <v>0</v>
      </c>
      <c r="X27" s="388">
        <f t="shared" si="19"/>
        <v>0</v>
      </c>
      <c r="Y27" s="388">
        <f t="shared" si="20"/>
        <v>0</v>
      </c>
      <c r="Z27" s="388">
        <f t="shared" si="21"/>
        <v>0</v>
      </c>
      <c r="AA27" s="388">
        <f t="shared" si="22"/>
        <v>0</v>
      </c>
      <c r="AB27" s="391">
        <f t="shared" si="23"/>
        <v>0</v>
      </c>
      <c r="AC27" s="264"/>
      <c r="AD27" s="264"/>
      <c r="AE27" s="403">
        <f t="shared" si="2"/>
        <v>0</v>
      </c>
      <c r="AF27" s="404">
        <f t="shared" si="3"/>
        <v>0</v>
      </c>
      <c r="AG27" s="404">
        <f t="shared" si="4"/>
        <v>0</v>
      </c>
      <c r="AH27" s="405">
        <f t="shared" si="5"/>
        <v>0</v>
      </c>
      <c r="AI27" s="406">
        <f t="shared" si="6"/>
        <v>0.05</v>
      </c>
      <c r="AJ27" s="407">
        <f t="shared" si="7"/>
        <v>0</v>
      </c>
      <c r="AK27" s="407">
        <f t="shared" si="8"/>
        <v>0</v>
      </c>
      <c r="AL27" s="405">
        <f t="shared" si="9"/>
        <v>0</v>
      </c>
      <c r="AM27" s="405">
        <f t="shared" si="10"/>
        <v>0</v>
      </c>
      <c r="AN27" s="405">
        <f t="shared" si="11"/>
        <v>0</v>
      </c>
      <c r="AO27" s="312">
        <f t="shared" si="12"/>
        <v>0</v>
      </c>
      <c r="AP27" s="378">
        <f t="shared" si="0"/>
        <v>-14503.315789473683</v>
      </c>
      <c r="AQ27" s="379">
        <f t="shared" si="13"/>
        <v>0</v>
      </c>
      <c r="AR27" s="379">
        <f t="shared" si="1"/>
        <v>-14503.315789473683</v>
      </c>
    </row>
    <row r="28" spans="1:44" ht="15" x14ac:dyDescent="0.25">
      <c r="A28" s="345" t="s">
        <v>555</v>
      </c>
      <c r="B28" s="345" t="s">
        <v>526</v>
      </c>
      <c r="C28" s="266" t="s">
        <v>547</v>
      </c>
      <c r="D28" s="266" t="s">
        <v>549</v>
      </c>
      <c r="E28" s="266" t="s">
        <v>552</v>
      </c>
      <c r="F28" s="266" t="s">
        <v>553</v>
      </c>
      <c r="G28" s="347">
        <v>42958</v>
      </c>
      <c r="H28" s="348">
        <v>11</v>
      </c>
      <c r="I28" s="346">
        <v>11</v>
      </c>
      <c r="J28" s="349">
        <f>SUM(I28:I30)/(($K$8-$K$9)/$K$10)</f>
        <v>0.81600000000000006</v>
      </c>
      <c r="K28" s="350">
        <v>24000</v>
      </c>
      <c r="L28" s="351">
        <v>12310.98</v>
      </c>
      <c r="M28" s="410"/>
      <c r="N28" s="410"/>
      <c r="O28" s="410"/>
      <c r="P28" s="410"/>
      <c r="Q28" s="417"/>
      <c r="R28" s="266"/>
      <c r="S28" s="362">
        <f t="shared" si="14"/>
        <v>0</v>
      </c>
      <c r="T28" s="362">
        <f t="shared" si="15"/>
        <v>0</v>
      </c>
      <c r="U28" s="363">
        <f t="shared" si="16"/>
        <v>0</v>
      </c>
      <c r="V28" s="364">
        <f t="shared" si="17"/>
        <v>0</v>
      </c>
      <c r="W28" s="362">
        <f t="shared" si="18"/>
        <v>0</v>
      </c>
      <c r="X28" s="362">
        <f t="shared" si="19"/>
        <v>0</v>
      </c>
      <c r="Y28" s="362">
        <f t="shared" si="20"/>
        <v>0</v>
      </c>
      <c r="Z28" s="362">
        <f t="shared" si="21"/>
        <v>0</v>
      </c>
      <c r="AA28" s="362">
        <f t="shared" si="22"/>
        <v>0</v>
      </c>
      <c r="AB28" s="360">
        <f t="shared" si="23"/>
        <v>0</v>
      </c>
      <c r="AC28" s="266"/>
      <c r="AD28" s="266"/>
      <c r="AE28" s="412">
        <f t="shared" si="2"/>
        <v>0</v>
      </c>
      <c r="AF28" s="413">
        <f t="shared" si="3"/>
        <v>0</v>
      </c>
      <c r="AG28" s="413">
        <f t="shared" si="4"/>
        <v>0</v>
      </c>
      <c r="AH28" s="414">
        <f t="shared" si="5"/>
        <v>0</v>
      </c>
      <c r="AI28" s="415">
        <f t="shared" si="6"/>
        <v>0.05</v>
      </c>
      <c r="AJ28" s="416">
        <f t="shared" si="7"/>
        <v>0</v>
      </c>
      <c r="AK28" s="416">
        <f t="shared" si="8"/>
        <v>0</v>
      </c>
      <c r="AL28" s="414">
        <f t="shared" si="9"/>
        <v>0</v>
      </c>
      <c r="AM28" s="414">
        <f t="shared" si="10"/>
        <v>0</v>
      </c>
      <c r="AN28" s="414">
        <f t="shared" si="11"/>
        <v>0</v>
      </c>
      <c r="AO28" s="242">
        <f t="shared" si="12"/>
        <v>0</v>
      </c>
      <c r="AP28" s="172">
        <f t="shared" si="0"/>
        <v>-15953.647368421052</v>
      </c>
      <c r="AQ28" s="243">
        <f t="shared" si="13"/>
        <v>0</v>
      </c>
      <c r="AR28" s="243">
        <f t="shared" si="1"/>
        <v>-15953.647368421052</v>
      </c>
    </row>
    <row r="29" spans="1:44" ht="15" x14ac:dyDescent="0.25">
      <c r="A29" s="345"/>
      <c r="B29" s="345" t="s">
        <v>526</v>
      </c>
      <c r="C29" s="266" t="s">
        <v>542</v>
      </c>
      <c r="D29" s="266" t="s">
        <v>387</v>
      </c>
      <c r="E29" s="266" t="s">
        <v>556</v>
      </c>
      <c r="F29" s="266" t="s">
        <v>498</v>
      </c>
      <c r="G29" s="268">
        <v>42965</v>
      </c>
      <c r="H29" s="269">
        <v>5</v>
      </c>
      <c r="I29" s="266">
        <v>5</v>
      </c>
      <c r="J29" s="354"/>
      <c r="K29" s="350"/>
      <c r="L29" s="351"/>
      <c r="M29" s="266">
        <v>30</v>
      </c>
      <c r="N29" s="266">
        <v>10</v>
      </c>
      <c r="O29" s="266">
        <v>60</v>
      </c>
      <c r="P29" s="266">
        <v>360</v>
      </c>
      <c r="Q29" s="417">
        <f>[2]Ardlamont!G26</f>
        <v>34745.536</v>
      </c>
      <c r="R29" s="266">
        <f>[2]Ardlamont!G32</f>
        <v>14344</v>
      </c>
      <c r="S29" s="362">
        <f t="shared" si="14"/>
        <v>360.59999999999997</v>
      </c>
      <c r="T29" s="362">
        <f t="shared" si="15"/>
        <v>3029.3999999999996</v>
      </c>
      <c r="U29" s="363">
        <f t="shared" si="16"/>
        <v>0.18181818181818182</v>
      </c>
      <c r="V29" s="364">
        <f t="shared" si="17"/>
        <v>90.909090909090907</v>
      </c>
      <c r="W29" s="362">
        <f t="shared" si="18"/>
        <v>5.454545454545455</v>
      </c>
      <c r="X29" s="362">
        <f t="shared" si="19"/>
        <v>21.81818181818182</v>
      </c>
      <c r="Y29" s="362">
        <f t="shared" si="20"/>
        <v>65.563636363636363</v>
      </c>
      <c r="Z29" s="362">
        <f t="shared" si="21"/>
        <v>367.2</v>
      </c>
      <c r="AA29" s="362">
        <f t="shared" si="22"/>
        <v>432.76363636363635</v>
      </c>
      <c r="AB29" s="360">
        <f t="shared" si="23"/>
        <v>53003.208727272722</v>
      </c>
      <c r="AC29" s="266">
        <v>0</v>
      </c>
      <c r="AD29" s="266">
        <v>0</v>
      </c>
      <c r="AE29" s="412">
        <f t="shared" si="2"/>
        <v>0</v>
      </c>
      <c r="AF29" s="413">
        <f t="shared" si="3"/>
        <v>0</v>
      </c>
      <c r="AG29" s="413">
        <f t="shared" si="4"/>
        <v>0</v>
      </c>
      <c r="AH29" s="414">
        <f t="shared" si="5"/>
        <v>0</v>
      </c>
      <c r="AI29" s="415">
        <f t="shared" si="6"/>
        <v>0.05</v>
      </c>
      <c r="AJ29" s="416">
        <f t="shared" si="7"/>
        <v>0</v>
      </c>
      <c r="AK29" s="416">
        <f t="shared" si="8"/>
        <v>0</v>
      </c>
      <c r="AL29" s="414">
        <f t="shared" si="9"/>
        <v>0</v>
      </c>
      <c r="AM29" s="414">
        <f t="shared" si="10"/>
        <v>0</v>
      </c>
      <c r="AN29" s="414">
        <f t="shared" si="11"/>
        <v>0</v>
      </c>
      <c r="AO29" s="242">
        <f t="shared" si="12"/>
        <v>53003.208727272722</v>
      </c>
      <c r="AP29" s="172">
        <f t="shared" si="0"/>
        <v>45751.550832535882</v>
      </c>
      <c r="AQ29" s="243">
        <f t="shared" si="13"/>
        <v>53003.208727272722</v>
      </c>
      <c r="AR29" s="243">
        <f t="shared" si="1"/>
        <v>45751.550832535882</v>
      </c>
    </row>
    <row r="30" spans="1:44" s="408" customFormat="1" ht="15" x14ac:dyDescent="0.25">
      <c r="A30" s="418"/>
      <c r="B30" s="418" t="s">
        <v>533</v>
      </c>
      <c r="C30" s="275" t="s">
        <v>537</v>
      </c>
      <c r="D30" s="275" t="s">
        <v>549</v>
      </c>
      <c r="E30" s="275" t="s">
        <v>552</v>
      </c>
      <c r="F30" s="275" t="s">
        <v>553</v>
      </c>
      <c r="G30" s="273">
        <v>42978</v>
      </c>
      <c r="H30" s="274">
        <v>18</v>
      </c>
      <c r="I30" s="275">
        <v>18</v>
      </c>
      <c r="J30" s="419"/>
      <c r="K30" s="419"/>
      <c r="L30" s="423"/>
      <c r="M30" s="400"/>
      <c r="N30" s="400"/>
      <c r="O30" s="400"/>
      <c r="P30" s="400"/>
      <c r="Q30" s="420"/>
      <c r="R30" s="421"/>
      <c r="S30" s="362">
        <f t="shared" si="14"/>
        <v>0</v>
      </c>
      <c r="T30" s="362">
        <f t="shared" si="15"/>
        <v>0</v>
      </c>
      <c r="U30" s="363">
        <f t="shared" si="16"/>
        <v>0</v>
      </c>
      <c r="V30" s="364">
        <f t="shared" si="17"/>
        <v>0</v>
      </c>
      <c r="W30" s="362">
        <f t="shared" si="18"/>
        <v>0</v>
      </c>
      <c r="X30" s="362">
        <f t="shared" si="19"/>
        <v>0</v>
      </c>
      <c r="Y30" s="362">
        <f t="shared" si="20"/>
        <v>0</v>
      </c>
      <c r="Z30" s="362">
        <f t="shared" si="21"/>
        <v>0</v>
      </c>
      <c r="AA30" s="362">
        <f t="shared" si="22"/>
        <v>0</v>
      </c>
      <c r="AB30" s="360">
        <f t="shared" si="23"/>
        <v>0</v>
      </c>
      <c r="AC30" s="421"/>
      <c r="AD30" s="421"/>
      <c r="AE30" s="373">
        <f t="shared" si="2"/>
        <v>0</v>
      </c>
      <c r="AF30" s="374">
        <f t="shared" si="3"/>
        <v>0</v>
      </c>
      <c r="AG30" s="374">
        <f t="shared" si="4"/>
        <v>0</v>
      </c>
      <c r="AH30" s="375">
        <f t="shared" si="5"/>
        <v>0</v>
      </c>
      <c r="AI30" s="376">
        <f t="shared" si="6"/>
        <v>0.05</v>
      </c>
      <c r="AJ30" s="377">
        <f t="shared" si="7"/>
        <v>0</v>
      </c>
      <c r="AK30" s="377">
        <f t="shared" si="8"/>
        <v>0</v>
      </c>
      <c r="AL30" s="375">
        <f t="shared" si="9"/>
        <v>0</v>
      </c>
      <c r="AM30" s="375">
        <f t="shared" si="10"/>
        <v>0</v>
      </c>
      <c r="AN30" s="375">
        <f t="shared" si="11"/>
        <v>0</v>
      </c>
      <c r="AO30" s="312">
        <f t="shared" si="12"/>
        <v>0</v>
      </c>
      <c r="AP30" s="378">
        <f t="shared" si="0"/>
        <v>-26105.968421052632</v>
      </c>
      <c r="AQ30" s="379">
        <f t="shared" si="13"/>
        <v>0</v>
      </c>
      <c r="AR30" s="379">
        <f t="shared" si="1"/>
        <v>-26105.968421052632</v>
      </c>
    </row>
    <row r="31" spans="1:44" ht="15" x14ac:dyDescent="0.25">
      <c r="A31" s="381" t="s">
        <v>557</v>
      </c>
      <c r="B31" s="249" t="s">
        <v>526</v>
      </c>
      <c r="C31" s="249" t="s">
        <v>542</v>
      </c>
      <c r="D31" s="249" t="s">
        <v>387</v>
      </c>
      <c r="E31" s="249" t="s">
        <v>556</v>
      </c>
      <c r="F31" s="249" t="s">
        <v>498</v>
      </c>
      <c r="G31" s="260">
        <v>42986</v>
      </c>
      <c r="H31" s="252">
        <v>5</v>
      </c>
      <c r="I31" s="249">
        <v>5</v>
      </c>
      <c r="J31" s="382">
        <f>SUM(I31:I34)/(($K$8-$K$9)/$K$10)</f>
        <v>0.84000000000000008</v>
      </c>
      <c r="K31" s="383">
        <v>24000</v>
      </c>
      <c r="L31" s="384">
        <v>9337.4</v>
      </c>
      <c r="M31" s="385"/>
      <c r="N31" s="385"/>
      <c r="O31" s="385"/>
      <c r="P31" s="385"/>
      <c r="Q31" s="386"/>
      <c r="R31" s="387"/>
      <c r="S31" s="388">
        <f t="shared" si="14"/>
        <v>0</v>
      </c>
      <c r="T31" s="388">
        <f t="shared" si="15"/>
        <v>0</v>
      </c>
      <c r="U31" s="389">
        <f t="shared" si="16"/>
        <v>0</v>
      </c>
      <c r="V31" s="390">
        <f t="shared" si="17"/>
        <v>0</v>
      </c>
      <c r="W31" s="388">
        <f t="shared" si="18"/>
        <v>0</v>
      </c>
      <c r="X31" s="388">
        <f t="shared" si="19"/>
        <v>0</v>
      </c>
      <c r="Y31" s="388">
        <f t="shared" si="20"/>
        <v>0</v>
      </c>
      <c r="Z31" s="388">
        <f t="shared" si="21"/>
        <v>0</v>
      </c>
      <c r="AA31" s="388">
        <f t="shared" si="22"/>
        <v>0</v>
      </c>
      <c r="AB31" s="391">
        <f t="shared" si="23"/>
        <v>0</v>
      </c>
      <c r="AC31" s="387"/>
      <c r="AD31" s="387"/>
      <c r="AE31" s="392">
        <f t="shared" si="2"/>
        <v>0</v>
      </c>
      <c r="AF31" s="393">
        <f t="shared" si="3"/>
        <v>0</v>
      </c>
      <c r="AG31" s="393">
        <f t="shared" si="4"/>
        <v>0</v>
      </c>
      <c r="AH31" s="394">
        <f t="shared" si="5"/>
        <v>0</v>
      </c>
      <c r="AI31" s="395">
        <f t="shared" si="6"/>
        <v>0.05</v>
      </c>
      <c r="AJ31" s="396">
        <f t="shared" si="7"/>
        <v>0</v>
      </c>
      <c r="AK31" s="396">
        <f t="shared" si="8"/>
        <v>0</v>
      </c>
      <c r="AL31" s="394">
        <f t="shared" si="9"/>
        <v>0</v>
      </c>
      <c r="AM31" s="394">
        <f t="shared" si="10"/>
        <v>0</v>
      </c>
      <c r="AN31" s="394">
        <f t="shared" si="11"/>
        <v>0</v>
      </c>
      <c r="AO31" s="242">
        <f t="shared" si="12"/>
        <v>0</v>
      </c>
      <c r="AP31" s="172">
        <f t="shared" si="0"/>
        <v>-7251.6578947368416</v>
      </c>
      <c r="AQ31" s="243">
        <f t="shared" si="13"/>
        <v>0</v>
      </c>
      <c r="AR31" s="243">
        <f t="shared" si="1"/>
        <v>-7251.6578947368416</v>
      </c>
    </row>
    <row r="32" spans="1:44" ht="15" x14ac:dyDescent="0.25">
      <c r="A32" s="381"/>
      <c r="B32" s="249" t="s">
        <v>526</v>
      </c>
      <c r="C32" s="249" t="s">
        <v>542</v>
      </c>
      <c r="D32" s="249" t="s">
        <v>387</v>
      </c>
      <c r="E32" s="249" t="s">
        <v>551</v>
      </c>
      <c r="F32" s="249" t="s">
        <v>405</v>
      </c>
      <c r="G32" s="260">
        <v>43000</v>
      </c>
      <c r="H32" s="252">
        <v>10</v>
      </c>
      <c r="I32" s="249">
        <v>10</v>
      </c>
      <c r="J32" s="397"/>
      <c r="K32" s="383"/>
      <c r="L32" s="384"/>
      <c r="M32" s="385"/>
      <c r="N32" s="385"/>
      <c r="O32" s="385"/>
      <c r="P32" s="385"/>
      <c r="Q32" s="386"/>
      <c r="R32" s="387"/>
      <c r="S32" s="388">
        <f t="shared" si="14"/>
        <v>0</v>
      </c>
      <c r="T32" s="388">
        <f t="shared" si="15"/>
        <v>0</v>
      </c>
      <c r="U32" s="389">
        <f t="shared" si="16"/>
        <v>0</v>
      </c>
      <c r="V32" s="390">
        <f t="shared" si="17"/>
        <v>0</v>
      </c>
      <c r="W32" s="388">
        <f t="shared" si="18"/>
        <v>0</v>
      </c>
      <c r="X32" s="388">
        <f t="shared" si="19"/>
        <v>0</v>
      </c>
      <c r="Y32" s="388">
        <f t="shared" si="20"/>
        <v>0</v>
      </c>
      <c r="Z32" s="388">
        <f t="shared" si="21"/>
        <v>0</v>
      </c>
      <c r="AA32" s="388">
        <f t="shared" si="22"/>
        <v>0</v>
      </c>
      <c r="AB32" s="391">
        <f t="shared" si="23"/>
        <v>0</v>
      </c>
      <c r="AC32" s="387"/>
      <c r="AD32" s="387"/>
      <c r="AE32" s="392">
        <f t="shared" si="2"/>
        <v>0</v>
      </c>
      <c r="AF32" s="393">
        <f t="shared" si="3"/>
        <v>0</v>
      </c>
      <c r="AG32" s="393">
        <f t="shared" si="4"/>
        <v>0</v>
      </c>
      <c r="AH32" s="394">
        <f t="shared" si="5"/>
        <v>0</v>
      </c>
      <c r="AI32" s="395">
        <f t="shared" si="6"/>
        <v>0.05</v>
      </c>
      <c r="AJ32" s="396">
        <f t="shared" si="7"/>
        <v>0</v>
      </c>
      <c r="AK32" s="396">
        <f t="shared" si="8"/>
        <v>0</v>
      </c>
      <c r="AL32" s="394">
        <f t="shared" si="9"/>
        <v>0</v>
      </c>
      <c r="AM32" s="394">
        <f t="shared" si="10"/>
        <v>0</v>
      </c>
      <c r="AN32" s="394">
        <f t="shared" si="11"/>
        <v>0</v>
      </c>
      <c r="AO32" s="242">
        <f t="shared" si="12"/>
        <v>0</v>
      </c>
      <c r="AP32" s="172">
        <f t="shared" si="0"/>
        <v>-14503.315789473683</v>
      </c>
      <c r="AQ32" s="243">
        <f t="shared" si="13"/>
        <v>0</v>
      </c>
      <c r="AR32" s="243">
        <f t="shared" si="1"/>
        <v>-14503.315789473683</v>
      </c>
    </row>
    <row r="33" spans="1:44" ht="15" x14ac:dyDescent="0.25">
      <c r="A33" s="381"/>
      <c r="B33" s="249" t="s">
        <v>526</v>
      </c>
      <c r="C33" s="249" t="s">
        <v>547</v>
      </c>
      <c r="D33" s="249" t="s">
        <v>549</v>
      </c>
      <c r="E33" s="249" t="s">
        <v>558</v>
      </c>
      <c r="F33" s="249" t="s">
        <v>530</v>
      </c>
      <c r="G33" s="260">
        <v>43007</v>
      </c>
      <c r="H33" s="252">
        <v>5</v>
      </c>
      <c r="I33" s="249">
        <v>5</v>
      </c>
      <c r="J33" s="397"/>
      <c r="K33" s="383"/>
      <c r="L33" s="384"/>
      <c r="M33" s="387">
        <v>90</v>
      </c>
      <c r="N33" s="387">
        <v>10</v>
      </c>
      <c r="O33" s="387">
        <v>180</v>
      </c>
      <c r="P33" s="387">
        <v>1080</v>
      </c>
      <c r="Q33" s="386">
        <f>[2]Barevan!G26</f>
        <v>64089.120000000003</v>
      </c>
      <c r="R33" s="387">
        <f>[2]Barevan!G32</f>
        <v>9064</v>
      </c>
      <c r="S33" s="388">
        <f t="shared" si="14"/>
        <v>1081.8</v>
      </c>
      <c r="T33" s="388">
        <f t="shared" si="15"/>
        <v>9088.1999999999989</v>
      </c>
      <c r="U33" s="389">
        <f t="shared" si="16"/>
        <v>0.18181818181818182</v>
      </c>
      <c r="V33" s="390">
        <f t="shared" si="17"/>
        <v>90.909090909090907</v>
      </c>
      <c r="W33" s="388">
        <f t="shared" si="18"/>
        <v>16.363636363636363</v>
      </c>
      <c r="X33" s="388">
        <f t="shared" si="19"/>
        <v>65.454545454545453</v>
      </c>
      <c r="Y33" s="388">
        <f t="shared" si="20"/>
        <v>196.69090909090909</v>
      </c>
      <c r="Z33" s="388">
        <f t="shared" si="21"/>
        <v>1101.5999999999999</v>
      </c>
      <c r="AA33" s="388">
        <f t="shared" si="22"/>
        <v>1298.2909090909091</v>
      </c>
      <c r="AB33" s="391">
        <f t="shared" si="23"/>
        <v>84712.319999999992</v>
      </c>
      <c r="AC33" s="387">
        <v>0</v>
      </c>
      <c r="AD33" s="387">
        <v>0</v>
      </c>
      <c r="AE33" s="392">
        <f t="shared" si="2"/>
        <v>0</v>
      </c>
      <c r="AF33" s="393">
        <f t="shared" si="3"/>
        <v>0</v>
      </c>
      <c r="AG33" s="393">
        <f t="shared" si="4"/>
        <v>0</v>
      </c>
      <c r="AH33" s="394">
        <f t="shared" si="5"/>
        <v>0</v>
      </c>
      <c r="AI33" s="395">
        <f t="shared" si="6"/>
        <v>0.05</v>
      </c>
      <c r="AJ33" s="396">
        <f t="shared" si="7"/>
        <v>0</v>
      </c>
      <c r="AK33" s="396">
        <f t="shared" si="8"/>
        <v>0</v>
      </c>
      <c r="AL33" s="394">
        <f t="shared" si="9"/>
        <v>0</v>
      </c>
      <c r="AM33" s="394">
        <f t="shared" si="10"/>
        <v>0</v>
      </c>
      <c r="AN33" s="394">
        <f t="shared" si="11"/>
        <v>0</v>
      </c>
      <c r="AO33" s="242">
        <f t="shared" si="12"/>
        <v>84712.319999999992</v>
      </c>
      <c r="AP33" s="172">
        <f t="shared" si="0"/>
        <v>77460.662105263153</v>
      </c>
      <c r="AQ33" s="243">
        <f t="shared" si="13"/>
        <v>84712.319999999992</v>
      </c>
      <c r="AR33" s="243">
        <f t="shared" si="1"/>
        <v>77460.662105263153</v>
      </c>
    </row>
    <row r="34" spans="1:44" s="408" customFormat="1" ht="15" x14ac:dyDescent="0.25">
      <c r="A34" s="398"/>
      <c r="B34" s="264" t="s">
        <v>533</v>
      </c>
      <c r="C34" s="402" t="s">
        <v>537</v>
      </c>
      <c r="D34" s="402" t="s">
        <v>549</v>
      </c>
      <c r="E34" s="402" t="s">
        <v>558</v>
      </c>
      <c r="F34" s="402" t="s">
        <v>530</v>
      </c>
      <c r="G34" s="262">
        <v>43007</v>
      </c>
      <c r="H34" s="263">
        <v>15</v>
      </c>
      <c r="I34" s="264">
        <v>15</v>
      </c>
      <c r="J34" s="399"/>
      <c r="K34" s="399"/>
      <c r="L34" s="424"/>
      <c r="M34" s="400"/>
      <c r="N34" s="400"/>
      <c r="O34" s="400"/>
      <c r="P34" s="400"/>
      <c r="Q34" s="401"/>
      <c r="R34" s="402"/>
      <c r="S34" s="388">
        <f t="shared" si="14"/>
        <v>0</v>
      </c>
      <c r="T34" s="388">
        <f t="shared" si="15"/>
        <v>0</v>
      </c>
      <c r="U34" s="389">
        <f t="shared" si="16"/>
        <v>0</v>
      </c>
      <c r="V34" s="390">
        <f t="shared" si="17"/>
        <v>0</v>
      </c>
      <c r="W34" s="388">
        <f t="shared" si="18"/>
        <v>0</v>
      </c>
      <c r="X34" s="388">
        <f t="shared" si="19"/>
        <v>0</v>
      </c>
      <c r="Y34" s="388">
        <f t="shared" si="20"/>
        <v>0</v>
      </c>
      <c r="Z34" s="388">
        <f t="shared" si="21"/>
        <v>0</v>
      </c>
      <c r="AA34" s="388">
        <f t="shared" si="22"/>
        <v>0</v>
      </c>
      <c r="AB34" s="391">
        <f t="shared" si="23"/>
        <v>0</v>
      </c>
      <c r="AC34" s="402"/>
      <c r="AD34" s="402"/>
      <c r="AE34" s="403">
        <f t="shared" si="2"/>
        <v>0</v>
      </c>
      <c r="AF34" s="404">
        <f t="shared" si="3"/>
        <v>0</v>
      </c>
      <c r="AG34" s="404">
        <f t="shared" si="4"/>
        <v>0</v>
      </c>
      <c r="AH34" s="405">
        <f t="shared" si="5"/>
        <v>0</v>
      </c>
      <c r="AI34" s="406">
        <f t="shared" si="6"/>
        <v>0.05</v>
      </c>
      <c r="AJ34" s="407">
        <f t="shared" si="7"/>
        <v>0</v>
      </c>
      <c r="AK34" s="407">
        <f t="shared" si="8"/>
        <v>0</v>
      </c>
      <c r="AL34" s="405">
        <f t="shared" si="9"/>
        <v>0</v>
      </c>
      <c r="AM34" s="405">
        <f t="shared" si="10"/>
        <v>0</v>
      </c>
      <c r="AN34" s="405">
        <f t="shared" si="11"/>
        <v>0</v>
      </c>
      <c r="AO34" s="312">
        <f t="shared" si="12"/>
        <v>0</v>
      </c>
      <c r="AP34" s="378">
        <f t="shared" si="0"/>
        <v>-21754.973684210527</v>
      </c>
      <c r="AQ34" s="379">
        <f t="shared" si="13"/>
        <v>0</v>
      </c>
      <c r="AR34" s="379">
        <f t="shared" si="1"/>
        <v>-21754.973684210527</v>
      </c>
    </row>
    <row r="35" spans="1:44" ht="15" x14ac:dyDescent="0.25">
      <c r="A35" s="345" t="s">
        <v>559</v>
      </c>
      <c r="B35" s="345" t="s">
        <v>526</v>
      </c>
      <c r="C35" s="266" t="s">
        <v>527</v>
      </c>
      <c r="D35" s="266" t="s">
        <v>549</v>
      </c>
      <c r="E35" s="266" t="s">
        <v>558</v>
      </c>
      <c r="F35" s="266" t="s">
        <v>530</v>
      </c>
      <c r="G35" s="268">
        <v>43014</v>
      </c>
      <c r="H35" s="269">
        <v>5</v>
      </c>
      <c r="I35" s="266">
        <v>5</v>
      </c>
      <c r="J35" s="349">
        <f>SUM(I35:I38)/(($K$8-$K$9)/$K$10)</f>
        <v>0.48000000000000004</v>
      </c>
      <c r="K35" s="350">
        <v>24000</v>
      </c>
      <c r="L35" s="351">
        <v>20164.38</v>
      </c>
      <c r="M35" s="410"/>
      <c r="N35" s="410"/>
      <c r="O35" s="410"/>
      <c r="P35" s="410"/>
      <c r="Q35" s="417"/>
      <c r="R35" s="266"/>
      <c r="S35" s="362">
        <f t="shared" si="14"/>
        <v>0</v>
      </c>
      <c r="T35" s="362">
        <f t="shared" si="15"/>
        <v>0</v>
      </c>
      <c r="U35" s="363">
        <f t="shared" si="16"/>
        <v>0</v>
      </c>
      <c r="V35" s="364">
        <f t="shared" si="17"/>
        <v>0</v>
      </c>
      <c r="W35" s="362">
        <f t="shared" si="18"/>
        <v>0</v>
      </c>
      <c r="X35" s="362">
        <f t="shared" si="19"/>
        <v>0</v>
      </c>
      <c r="Y35" s="362">
        <f t="shared" si="20"/>
        <v>0</v>
      </c>
      <c r="Z35" s="362">
        <f t="shared" si="21"/>
        <v>0</v>
      </c>
      <c r="AA35" s="362">
        <f t="shared" si="22"/>
        <v>0</v>
      </c>
      <c r="AB35" s="360">
        <f t="shared" si="23"/>
        <v>0</v>
      </c>
      <c r="AC35" s="346"/>
      <c r="AD35" s="346"/>
      <c r="AE35" s="412">
        <f t="shared" si="2"/>
        <v>0</v>
      </c>
      <c r="AF35" s="413">
        <f t="shared" si="3"/>
        <v>0</v>
      </c>
      <c r="AG35" s="413">
        <f t="shared" si="4"/>
        <v>0</v>
      </c>
      <c r="AH35" s="414">
        <f t="shared" si="5"/>
        <v>0</v>
      </c>
      <c r="AI35" s="415">
        <f t="shared" si="6"/>
        <v>0.05</v>
      </c>
      <c r="AJ35" s="416">
        <f t="shared" si="7"/>
        <v>0</v>
      </c>
      <c r="AK35" s="416">
        <f t="shared" si="8"/>
        <v>0</v>
      </c>
      <c r="AL35" s="414">
        <f t="shared" si="9"/>
        <v>0</v>
      </c>
      <c r="AM35" s="414">
        <f t="shared" si="10"/>
        <v>0</v>
      </c>
      <c r="AN35" s="414">
        <f t="shared" si="11"/>
        <v>0</v>
      </c>
      <c r="AO35" s="242">
        <f t="shared" si="12"/>
        <v>0</v>
      </c>
      <c r="AP35" s="172">
        <f t="shared" si="0"/>
        <v>-7251.6578947368416</v>
      </c>
      <c r="AQ35" s="243">
        <f t="shared" si="13"/>
        <v>0</v>
      </c>
      <c r="AR35" s="243">
        <f t="shared" si="1"/>
        <v>-7251.6578947368416</v>
      </c>
    </row>
    <row r="36" spans="1:44" ht="15" x14ac:dyDescent="0.25">
      <c r="A36" s="345"/>
      <c r="B36" s="345" t="s">
        <v>526</v>
      </c>
      <c r="C36" s="266" t="s">
        <v>527</v>
      </c>
      <c r="D36" s="266" t="s">
        <v>560</v>
      </c>
      <c r="E36" s="266" t="s">
        <v>561</v>
      </c>
      <c r="F36" s="266" t="s">
        <v>514</v>
      </c>
      <c r="G36" s="268">
        <v>43021</v>
      </c>
      <c r="H36" s="269">
        <v>5</v>
      </c>
      <c r="I36" s="266">
        <v>5</v>
      </c>
      <c r="J36" s="349"/>
      <c r="K36" s="350"/>
      <c r="L36" s="351"/>
      <c r="M36" s="266">
        <v>0</v>
      </c>
      <c r="N36" s="266">
        <v>15</v>
      </c>
      <c r="O36" s="266">
        <v>0</v>
      </c>
      <c r="P36" s="266">
        <v>0</v>
      </c>
      <c r="Q36" s="417">
        <v>0</v>
      </c>
      <c r="R36" s="266">
        <v>0</v>
      </c>
      <c r="S36" s="362">
        <f t="shared" si="14"/>
        <v>0</v>
      </c>
      <c r="T36" s="362">
        <f t="shared" si="15"/>
        <v>0</v>
      </c>
      <c r="U36" s="363">
        <f t="shared" si="16"/>
        <v>0.27272727272727271</v>
      </c>
      <c r="V36" s="364">
        <f t="shared" si="17"/>
        <v>0</v>
      </c>
      <c r="W36" s="362">
        <f t="shared" si="18"/>
        <v>0</v>
      </c>
      <c r="X36" s="362">
        <f t="shared" si="19"/>
        <v>0</v>
      </c>
      <c r="Y36" s="362">
        <f t="shared" si="20"/>
        <v>0</v>
      </c>
      <c r="Z36" s="362">
        <f t="shared" si="21"/>
        <v>0</v>
      </c>
      <c r="AA36" s="362">
        <f t="shared" si="22"/>
        <v>0</v>
      </c>
      <c r="AB36" s="360">
        <f t="shared" si="23"/>
        <v>0</v>
      </c>
      <c r="AC36" s="346">
        <v>5312</v>
      </c>
      <c r="AD36" s="346">
        <v>12</v>
      </c>
      <c r="AE36" s="412">
        <f t="shared" si="2"/>
        <v>63744</v>
      </c>
      <c r="AF36" s="413">
        <f t="shared" si="3"/>
        <v>63850.239999999998</v>
      </c>
      <c r="AG36" s="413">
        <f t="shared" si="4"/>
        <v>1072811.5199999998</v>
      </c>
      <c r="AH36" s="414">
        <f t="shared" si="5"/>
        <v>1136661.7599999998</v>
      </c>
      <c r="AI36" s="415">
        <f t="shared" si="6"/>
        <v>0.05</v>
      </c>
      <c r="AJ36" s="416">
        <f t="shared" si="7"/>
        <v>265.60000000000002</v>
      </c>
      <c r="AK36" s="416">
        <f t="shared" si="8"/>
        <v>3187.2000000000003</v>
      </c>
      <c r="AL36" s="414">
        <f t="shared" si="9"/>
        <v>56833.087999999989</v>
      </c>
      <c r="AM36" s="414">
        <f t="shared" si="10"/>
        <v>3192.5120000000002</v>
      </c>
      <c r="AN36" s="414">
        <f t="shared" si="11"/>
        <v>53640.575999999994</v>
      </c>
      <c r="AO36" s="242">
        <f t="shared" si="12"/>
        <v>1136661.7599999998</v>
      </c>
      <c r="AP36" s="172">
        <f t="shared" si="0"/>
        <v>1129410.1021052629</v>
      </c>
      <c r="AQ36" s="243">
        <f t="shared" si="13"/>
        <v>56833.087999999989</v>
      </c>
      <c r="AR36" s="243">
        <f t="shared" si="1"/>
        <v>49581.430105263149</v>
      </c>
    </row>
    <row r="37" spans="1:44" ht="15" x14ac:dyDescent="0.25">
      <c r="A37" s="345"/>
      <c r="B37" s="345" t="s">
        <v>526</v>
      </c>
      <c r="C37" s="266" t="s">
        <v>542</v>
      </c>
      <c r="D37" s="266" t="s">
        <v>387</v>
      </c>
      <c r="E37" s="266" t="s">
        <v>562</v>
      </c>
      <c r="F37" s="266" t="s">
        <v>405</v>
      </c>
      <c r="G37" s="268">
        <v>43028</v>
      </c>
      <c r="H37" s="269">
        <v>5</v>
      </c>
      <c r="I37" s="266">
        <v>5</v>
      </c>
      <c r="J37" s="349"/>
      <c r="K37" s="350"/>
      <c r="L37" s="351"/>
      <c r="M37" s="266">
        <v>36</v>
      </c>
      <c r="N37" s="266">
        <v>4</v>
      </c>
      <c r="O37" s="266">
        <v>72</v>
      </c>
      <c r="P37" s="266">
        <v>288</v>
      </c>
      <c r="Q37" s="417">
        <f>[2]Lindsaig!G26</f>
        <v>13985.912</v>
      </c>
      <c r="R37" s="266">
        <f>[2]Lindsaig!G32</f>
        <v>2084</v>
      </c>
      <c r="S37" s="362">
        <f t="shared" si="14"/>
        <v>432.71999999999997</v>
      </c>
      <c r="T37" s="362">
        <f t="shared" si="15"/>
        <v>2423.5199999999995</v>
      </c>
      <c r="U37" s="363">
        <f t="shared" si="16"/>
        <v>7.2727272727272724E-2</v>
      </c>
      <c r="V37" s="364">
        <f t="shared" si="17"/>
        <v>36.36363636363636</v>
      </c>
      <c r="W37" s="362">
        <f t="shared" si="18"/>
        <v>2.6181818181818182</v>
      </c>
      <c r="X37" s="362">
        <f t="shared" si="19"/>
        <v>10.472727272727273</v>
      </c>
      <c r="Y37" s="362">
        <f t="shared" si="20"/>
        <v>31.470545454545451</v>
      </c>
      <c r="Z37" s="362">
        <f t="shared" si="21"/>
        <v>176.25599999999997</v>
      </c>
      <c r="AA37" s="362">
        <f t="shared" si="22"/>
        <v>207.72654545454543</v>
      </c>
      <c r="AB37" s="360">
        <f t="shared" si="23"/>
        <v>19170.242181818183</v>
      </c>
      <c r="AC37" s="266">
        <v>247</v>
      </c>
      <c r="AD37" s="346">
        <v>8</v>
      </c>
      <c r="AE37" s="412">
        <f t="shared" si="2"/>
        <v>1976</v>
      </c>
      <c r="AF37" s="413">
        <f t="shared" si="3"/>
        <v>2968.94</v>
      </c>
      <c r="AG37" s="413">
        <f t="shared" si="4"/>
        <v>33256.079999999994</v>
      </c>
      <c r="AH37" s="414">
        <f t="shared" si="5"/>
        <v>36225.019999999997</v>
      </c>
      <c r="AI37" s="415">
        <f t="shared" si="6"/>
        <v>0.05</v>
      </c>
      <c r="AJ37" s="416">
        <f t="shared" si="7"/>
        <v>12.350000000000001</v>
      </c>
      <c r="AK37" s="416">
        <f t="shared" si="8"/>
        <v>98.800000000000011</v>
      </c>
      <c r="AL37" s="414">
        <f t="shared" si="9"/>
        <v>1811.251</v>
      </c>
      <c r="AM37" s="414">
        <f t="shared" si="10"/>
        <v>148.447</v>
      </c>
      <c r="AN37" s="414">
        <f t="shared" si="11"/>
        <v>1662.8039999999999</v>
      </c>
      <c r="AO37" s="242">
        <f t="shared" si="12"/>
        <v>55395.26218181818</v>
      </c>
      <c r="AP37" s="172">
        <f t="shared" si="0"/>
        <v>48143.60428708134</v>
      </c>
      <c r="AQ37" s="243">
        <f t="shared" si="13"/>
        <v>20981.493181818183</v>
      </c>
      <c r="AR37" s="243">
        <f t="shared" si="1"/>
        <v>13729.835287081341</v>
      </c>
    </row>
    <row r="38" spans="1:44" ht="15" x14ac:dyDescent="0.25">
      <c r="A38" s="345"/>
      <c r="B38" s="345" t="s">
        <v>526</v>
      </c>
      <c r="C38" s="266" t="s">
        <v>542</v>
      </c>
      <c r="D38" s="266" t="s">
        <v>387</v>
      </c>
      <c r="E38" s="266" t="s">
        <v>556</v>
      </c>
      <c r="F38" s="266" t="s">
        <v>402</v>
      </c>
      <c r="G38" s="268">
        <v>43035</v>
      </c>
      <c r="H38" s="269">
        <v>5</v>
      </c>
      <c r="I38" s="266">
        <v>5</v>
      </c>
      <c r="J38" s="354"/>
      <c r="K38" s="350"/>
      <c r="L38" s="351"/>
      <c r="M38" s="410"/>
      <c r="N38" s="410"/>
      <c r="O38" s="410"/>
      <c r="P38" s="410"/>
      <c r="Q38" s="417"/>
      <c r="R38" s="266"/>
      <c r="S38" s="362">
        <f t="shared" si="14"/>
        <v>0</v>
      </c>
      <c r="T38" s="362">
        <f t="shared" si="15"/>
        <v>0</v>
      </c>
      <c r="U38" s="363">
        <f t="shared" si="16"/>
        <v>0</v>
      </c>
      <c r="V38" s="364">
        <f t="shared" si="17"/>
        <v>0</v>
      </c>
      <c r="W38" s="362">
        <f t="shared" si="18"/>
        <v>0</v>
      </c>
      <c r="X38" s="362">
        <f t="shared" si="19"/>
        <v>0</v>
      </c>
      <c r="Y38" s="362">
        <f t="shared" si="20"/>
        <v>0</v>
      </c>
      <c r="Z38" s="362">
        <f t="shared" si="21"/>
        <v>0</v>
      </c>
      <c r="AA38" s="362">
        <f t="shared" si="22"/>
        <v>0</v>
      </c>
      <c r="AB38" s="360">
        <f t="shared" si="23"/>
        <v>0</v>
      </c>
      <c r="AC38" s="346"/>
      <c r="AD38" s="346"/>
      <c r="AE38" s="412">
        <f t="shared" si="2"/>
        <v>0</v>
      </c>
      <c r="AF38" s="413">
        <f t="shared" si="3"/>
        <v>0</v>
      </c>
      <c r="AG38" s="413">
        <f t="shared" si="4"/>
        <v>0</v>
      </c>
      <c r="AH38" s="414">
        <f t="shared" si="5"/>
        <v>0</v>
      </c>
      <c r="AI38" s="415">
        <f t="shared" si="6"/>
        <v>0.05</v>
      </c>
      <c r="AJ38" s="416">
        <f t="shared" si="7"/>
        <v>0</v>
      </c>
      <c r="AK38" s="416">
        <f t="shared" si="8"/>
        <v>0</v>
      </c>
      <c r="AL38" s="414">
        <f t="shared" si="9"/>
        <v>0</v>
      </c>
      <c r="AM38" s="414">
        <f t="shared" si="10"/>
        <v>0</v>
      </c>
      <c r="AN38" s="414">
        <f t="shared" si="11"/>
        <v>0</v>
      </c>
      <c r="AO38" s="242">
        <f t="shared" si="12"/>
        <v>0</v>
      </c>
      <c r="AP38" s="172">
        <f t="shared" si="0"/>
        <v>-7251.6578947368416</v>
      </c>
      <c r="AQ38" s="243">
        <f t="shared" si="13"/>
        <v>0</v>
      </c>
      <c r="AR38" s="243">
        <f t="shared" si="1"/>
        <v>-7251.6578947368416</v>
      </c>
    </row>
    <row r="39" spans="1:44" ht="15" x14ac:dyDescent="0.25">
      <c r="A39" s="345"/>
      <c r="B39" s="345" t="s">
        <v>526</v>
      </c>
      <c r="C39" s="266" t="s">
        <v>563</v>
      </c>
      <c r="D39" s="266" t="s">
        <v>486</v>
      </c>
      <c r="E39" s="266" t="s">
        <v>564</v>
      </c>
      <c r="F39" s="266" t="s">
        <v>396</v>
      </c>
      <c r="G39" s="268">
        <v>43039</v>
      </c>
      <c r="H39" s="269">
        <v>2</v>
      </c>
      <c r="I39" s="266">
        <v>2</v>
      </c>
      <c r="J39" s="354"/>
      <c r="K39" s="350"/>
      <c r="L39" s="351"/>
      <c r="M39" s="266">
        <v>204</v>
      </c>
      <c r="N39" s="266">
        <v>15</v>
      </c>
      <c r="O39" s="266">
        <v>406</v>
      </c>
      <c r="P39" s="266">
        <v>1632</v>
      </c>
      <c r="Q39" s="417">
        <f>[2]Inver!G26</f>
        <v>50648.68</v>
      </c>
      <c r="R39" s="266">
        <f>[2]Inver!G32</f>
        <v>5916</v>
      </c>
      <c r="S39" s="362">
        <f t="shared" si="14"/>
        <v>2440.06</v>
      </c>
      <c r="T39" s="362">
        <f t="shared" si="15"/>
        <v>13733.279999999999</v>
      </c>
      <c r="U39" s="363">
        <f t="shared" si="16"/>
        <v>0.27272727272727271</v>
      </c>
      <c r="V39" s="364">
        <f t="shared" si="17"/>
        <v>136.36363636363635</v>
      </c>
      <c r="W39" s="362">
        <f t="shared" si="18"/>
        <v>55.636363636363633</v>
      </c>
      <c r="X39" s="362">
        <f t="shared" si="19"/>
        <v>222.54545454545453</v>
      </c>
      <c r="Y39" s="362">
        <f t="shared" si="20"/>
        <v>668.7490909090908</v>
      </c>
      <c r="Z39" s="362">
        <f t="shared" si="21"/>
        <v>3745.4399999999996</v>
      </c>
      <c r="AA39" s="362">
        <f t="shared" si="22"/>
        <v>4414.1890909090907</v>
      </c>
      <c r="AB39" s="360">
        <f t="shared" si="23"/>
        <v>77288.572727272709</v>
      </c>
      <c r="AC39" s="346">
        <v>328</v>
      </c>
      <c r="AD39" s="346">
        <v>4</v>
      </c>
      <c r="AE39" s="412">
        <f t="shared" si="2"/>
        <v>1312</v>
      </c>
      <c r="AF39" s="413">
        <f t="shared" si="3"/>
        <v>3942.56</v>
      </c>
      <c r="AG39" s="413">
        <f t="shared" si="4"/>
        <v>22080.959999999999</v>
      </c>
      <c r="AH39" s="414">
        <f t="shared" si="5"/>
        <v>26023.52</v>
      </c>
      <c r="AI39" s="415">
        <f t="shared" si="6"/>
        <v>0.05</v>
      </c>
      <c r="AJ39" s="416">
        <f t="shared" si="7"/>
        <v>16.400000000000002</v>
      </c>
      <c r="AK39" s="416">
        <f t="shared" si="8"/>
        <v>65.600000000000009</v>
      </c>
      <c r="AL39" s="414">
        <f t="shared" si="9"/>
        <v>1301.1760000000002</v>
      </c>
      <c r="AM39" s="414">
        <f t="shared" si="10"/>
        <v>197.12800000000001</v>
      </c>
      <c r="AN39" s="414">
        <f t="shared" si="11"/>
        <v>1104.048</v>
      </c>
      <c r="AO39" s="242">
        <f t="shared" si="12"/>
        <v>103312.09272727271</v>
      </c>
      <c r="AP39" s="172">
        <f t="shared" si="0"/>
        <v>100411.42956937797</v>
      </c>
      <c r="AQ39" s="243">
        <f t="shared" si="13"/>
        <v>78589.748727272716</v>
      </c>
      <c r="AR39" s="243">
        <f t="shared" si="1"/>
        <v>75689.085569377974</v>
      </c>
    </row>
    <row r="40" spans="1:44" ht="15" x14ac:dyDescent="0.25">
      <c r="A40" s="381" t="s">
        <v>565</v>
      </c>
      <c r="B40" s="249" t="s">
        <v>526</v>
      </c>
      <c r="C40" s="249" t="s">
        <v>563</v>
      </c>
      <c r="D40" s="249" t="s">
        <v>486</v>
      </c>
      <c r="E40" s="249" t="s">
        <v>564</v>
      </c>
      <c r="F40" s="249" t="s">
        <v>396</v>
      </c>
      <c r="G40" s="260">
        <v>43049</v>
      </c>
      <c r="H40" s="252">
        <v>8</v>
      </c>
      <c r="I40" s="249">
        <v>8</v>
      </c>
      <c r="J40" s="382">
        <f>SUM(I40:I42)/(($K$8-$K$9)/$K$10)</f>
        <v>0.81600000000000006</v>
      </c>
      <c r="K40" s="383">
        <v>24000</v>
      </c>
      <c r="L40" s="384">
        <v>12885.99</v>
      </c>
      <c r="M40" s="385"/>
      <c r="N40" s="385"/>
      <c r="O40" s="385"/>
      <c r="P40" s="385"/>
      <c r="Q40" s="386"/>
      <c r="R40" s="387"/>
      <c r="S40" s="388">
        <f t="shared" si="14"/>
        <v>0</v>
      </c>
      <c r="T40" s="388">
        <f t="shared" si="15"/>
        <v>0</v>
      </c>
      <c r="U40" s="389">
        <f t="shared" si="16"/>
        <v>0</v>
      </c>
      <c r="V40" s="390">
        <f t="shared" si="17"/>
        <v>0</v>
      </c>
      <c r="W40" s="388">
        <f t="shared" si="18"/>
        <v>0</v>
      </c>
      <c r="X40" s="388">
        <f t="shared" si="19"/>
        <v>0</v>
      </c>
      <c r="Y40" s="388">
        <f t="shared" si="20"/>
        <v>0</v>
      </c>
      <c r="Z40" s="388">
        <f t="shared" si="21"/>
        <v>0</v>
      </c>
      <c r="AA40" s="388">
        <f t="shared" si="22"/>
        <v>0</v>
      </c>
      <c r="AB40" s="391">
        <f t="shared" si="23"/>
        <v>0</v>
      </c>
      <c r="AC40" s="387"/>
      <c r="AD40" s="387"/>
      <c r="AE40" s="392">
        <f t="shared" si="2"/>
        <v>0</v>
      </c>
      <c r="AF40" s="393">
        <f t="shared" si="3"/>
        <v>0</v>
      </c>
      <c r="AG40" s="393">
        <f t="shared" si="4"/>
        <v>0</v>
      </c>
      <c r="AH40" s="394">
        <f t="shared" si="5"/>
        <v>0</v>
      </c>
      <c r="AI40" s="395">
        <f t="shared" si="6"/>
        <v>0.05</v>
      </c>
      <c r="AJ40" s="396">
        <f t="shared" si="7"/>
        <v>0</v>
      </c>
      <c r="AK40" s="396">
        <f t="shared" si="8"/>
        <v>0</v>
      </c>
      <c r="AL40" s="394">
        <f t="shared" si="9"/>
        <v>0</v>
      </c>
      <c r="AM40" s="394">
        <f t="shared" si="10"/>
        <v>0</v>
      </c>
      <c r="AN40" s="394">
        <f t="shared" si="11"/>
        <v>0</v>
      </c>
      <c r="AO40" s="242">
        <f t="shared" si="12"/>
        <v>0</v>
      </c>
      <c r="AP40" s="172">
        <f t="shared" si="0"/>
        <v>-11602.652631578947</v>
      </c>
      <c r="AQ40" s="243">
        <f t="shared" si="13"/>
        <v>0</v>
      </c>
      <c r="AR40" s="243">
        <f t="shared" si="1"/>
        <v>-11602.652631578947</v>
      </c>
    </row>
    <row r="41" spans="1:44" ht="15" x14ac:dyDescent="0.25">
      <c r="A41" s="381"/>
      <c r="B41" s="249" t="s">
        <v>526</v>
      </c>
      <c r="C41" s="249" t="s">
        <v>566</v>
      </c>
      <c r="D41" s="249" t="s">
        <v>387</v>
      </c>
      <c r="E41" s="249" t="s">
        <v>567</v>
      </c>
      <c r="F41" s="249" t="s">
        <v>402</v>
      </c>
      <c r="G41" s="260">
        <v>43069</v>
      </c>
      <c r="H41" s="252">
        <v>14</v>
      </c>
      <c r="I41" s="249">
        <v>14</v>
      </c>
      <c r="J41" s="397"/>
      <c r="K41" s="383"/>
      <c r="L41" s="384"/>
      <c r="M41" s="387">
        <v>138</v>
      </c>
      <c r="N41" s="387">
        <v>24</v>
      </c>
      <c r="O41" s="387">
        <v>276</v>
      </c>
      <c r="P41" s="387">
        <v>2208</v>
      </c>
      <c r="Q41" s="386">
        <f>[2]Dalmally!G26</f>
        <v>71995.132799999992</v>
      </c>
      <c r="R41" s="387">
        <f>[2]Dalmally!G32</f>
        <v>6432</v>
      </c>
      <c r="S41" s="388">
        <f t="shared" si="14"/>
        <v>1658.76</v>
      </c>
      <c r="T41" s="388">
        <f t="shared" si="15"/>
        <v>18580.32</v>
      </c>
      <c r="U41" s="389">
        <f t="shared" si="16"/>
        <v>0.43636363636363634</v>
      </c>
      <c r="V41" s="390">
        <f t="shared" si="17"/>
        <v>218.18181818181816</v>
      </c>
      <c r="W41" s="388">
        <f t="shared" si="18"/>
        <v>60.218181818181819</v>
      </c>
      <c r="X41" s="388">
        <f t="shared" si="19"/>
        <v>240.87272727272727</v>
      </c>
      <c r="Y41" s="388">
        <f t="shared" si="20"/>
        <v>723.82254545454543</v>
      </c>
      <c r="Z41" s="388">
        <f t="shared" si="21"/>
        <v>4053.8879999999995</v>
      </c>
      <c r="AA41" s="388">
        <f t="shared" si="22"/>
        <v>4777.7105454545454</v>
      </c>
      <c r="AB41" s="391">
        <f t="shared" si="23"/>
        <v>103662.10516363636</v>
      </c>
      <c r="AC41" s="387">
        <v>0</v>
      </c>
      <c r="AD41" s="387">
        <v>0</v>
      </c>
      <c r="AE41" s="392">
        <f t="shared" si="2"/>
        <v>0</v>
      </c>
      <c r="AF41" s="393">
        <f t="shared" si="3"/>
        <v>0</v>
      </c>
      <c r="AG41" s="393">
        <f t="shared" si="4"/>
        <v>0</v>
      </c>
      <c r="AH41" s="394">
        <f t="shared" si="5"/>
        <v>0</v>
      </c>
      <c r="AI41" s="395">
        <f t="shared" si="6"/>
        <v>0.05</v>
      </c>
      <c r="AJ41" s="396">
        <f t="shared" si="7"/>
        <v>0</v>
      </c>
      <c r="AK41" s="396">
        <f t="shared" si="8"/>
        <v>0</v>
      </c>
      <c r="AL41" s="394">
        <f t="shared" si="9"/>
        <v>0</v>
      </c>
      <c r="AM41" s="394">
        <f t="shared" si="10"/>
        <v>0</v>
      </c>
      <c r="AN41" s="394">
        <f t="shared" si="11"/>
        <v>0</v>
      </c>
      <c r="AO41" s="242">
        <f t="shared" si="12"/>
        <v>103662.10516363636</v>
      </c>
      <c r="AP41" s="172">
        <f t="shared" si="0"/>
        <v>83357.463058373192</v>
      </c>
      <c r="AQ41" s="243">
        <f t="shared" si="13"/>
        <v>103662.10516363636</v>
      </c>
      <c r="AR41" s="243">
        <f t="shared" si="1"/>
        <v>83357.463058373192</v>
      </c>
    </row>
    <row r="42" spans="1:44" s="408" customFormat="1" ht="15" x14ac:dyDescent="0.25">
      <c r="A42" s="398"/>
      <c r="B42" s="264" t="s">
        <v>533</v>
      </c>
      <c r="C42" s="402" t="s">
        <v>537</v>
      </c>
      <c r="D42" s="264" t="s">
        <v>409</v>
      </c>
      <c r="E42" s="264" t="s">
        <v>568</v>
      </c>
      <c r="F42" s="264" t="s">
        <v>405</v>
      </c>
      <c r="G42" s="262">
        <v>43069</v>
      </c>
      <c r="H42" s="263">
        <v>12</v>
      </c>
      <c r="I42" s="264">
        <v>12</v>
      </c>
      <c r="J42" s="399"/>
      <c r="K42" s="399"/>
      <c r="L42" s="424"/>
      <c r="M42" s="400"/>
      <c r="N42" s="400"/>
      <c r="O42" s="400"/>
      <c r="P42" s="400"/>
      <c r="Q42" s="401"/>
      <c r="R42" s="402"/>
      <c r="S42" s="388">
        <f t="shared" si="14"/>
        <v>0</v>
      </c>
      <c r="T42" s="388">
        <f t="shared" si="15"/>
        <v>0</v>
      </c>
      <c r="U42" s="389">
        <f t="shared" si="16"/>
        <v>0</v>
      </c>
      <c r="V42" s="390">
        <f t="shared" si="17"/>
        <v>0</v>
      </c>
      <c r="W42" s="388">
        <f t="shared" si="18"/>
        <v>0</v>
      </c>
      <c r="X42" s="388">
        <f t="shared" si="19"/>
        <v>0</v>
      </c>
      <c r="Y42" s="388">
        <f t="shared" si="20"/>
        <v>0</v>
      </c>
      <c r="Z42" s="388">
        <f t="shared" si="21"/>
        <v>0</v>
      </c>
      <c r="AA42" s="388">
        <f t="shared" si="22"/>
        <v>0</v>
      </c>
      <c r="AB42" s="391">
        <f t="shared" si="23"/>
        <v>0</v>
      </c>
      <c r="AC42" s="402"/>
      <c r="AD42" s="402"/>
      <c r="AE42" s="403">
        <f t="shared" si="2"/>
        <v>0</v>
      </c>
      <c r="AF42" s="404">
        <f t="shared" si="3"/>
        <v>0</v>
      </c>
      <c r="AG42" s="404">
        <f t="shared" si="4"/>
        <v>0</v>
      </c>
      <c r="AH42" s="405">
        <f t="shared" si="5"/>
        <v>0</v>
      </c>
      <c r="AI42" s="406">
        <f t="shared" si="6"/>
        <v>0.05</v>
      </c>
      <c r="AJ42" s="407">
        <f t="shared" si="7"/>
        <v>0</v>
      </c>
      <c r="AK42" s="407">
        <f t="shared" si="8"/>
        <v>0</v>
      </c>
      <c r="AL42" s="405">
        <f t="shared" si="9"/>
        <v>0</v>
      </c>
      <c r="AM42" s="405">
        <f t="shared" si="10"/>
        <v>0</v>
      </c>
      <c r="AN42" s="405">
        <f t="shared" si="11"/>
        <v>0</v>
      </c>
      <c r="AO42" s="312">
        <f t="shared" si="12"/>
        <v>0</v>
      </c>
      <c r="AP42" s="378">
        <f t="shared" si="0"/>
        <v>-17403.978947368421</v>
      </c>
      <c r="AQ42" s="379">
        <f t="shared" si="13"/>
        <v>0</v>
      </c>
      <c r="AR42" s="379">
        <f t="shared" si="1"/>
        <v>-17403.978947368421</v>
      </c>
    </row>
    <row r="43" spans="1:44" ht="15" x14ac:dyDescent="0.25">
      <c r="A43" s="345" t="s">
        <v>569</v>
      </c>
      <c r="B43" s="345" t="s">
        <v>526</v>
      </c>
      <c r="C43" s="266" t="s">
        <v>566</v>
      </c>
      <c r="D43" s="266" t="s">
        <v>387</v>
      </c>
      <c r="E43" s="346" t="s">
        <v>567</v>
      </c>
      <c r="F43" s="346" t="s">
        <v>402</v>
      </c>
      <c r="G43" s="268">
        <v>43077</v>
      </c>
      <c r="H43" s="348">
        <v>6</v>
      </c>
      <c r="I43" s="266">
        <v>6</v>
      </c>
      <c r="J43" s="349">
        <f>SUM(I43:I45)/(($K$8-$K$9)/$K$10)</f>
        <v>0.504</v>
      </c>
      <c r="K43" s="350">
        <v>24000</v>
      </c>
      <c r="L43" s="351">
        <v>14490.63</v>
      </c>
      <c r="M43" s="385"/>
      <c r="N43" s="385"/>
      <c r="O43" s="385"/>
      <c r="P43" s="385"/>
      <c r="Q43" s="352"/>
      <c r="R43" s="346"/>
      <c r="S43" s="362">
        <f t="shared" si="14"/>
        <v>0</v>
      </c>
      <c r="T43" s="362">
        <f t="shared" si="15"/>
        <v>0</v>
      </c>
      <c r="U43" s="363">
        <f t="shared" si="16"/>
        <v>0</v>
      </c>
      <c r="V43" s="364">
        <f t="shared" si="17"/>
        <v>0</v>
      </c>
      <c r="W43" s="362">
        <f t="shared" si="18"/>
        <v>0</v>
      </c>
      <c r="X43" s="362">
        <f t="shared" si="19"/>
        <v>0</v>
      </c>
      <c r="Y43" s="362">
        <f t="shared" si="20"/>
        <v>0</v>
      </c>
      <c r="Z43" s="362">
        <f t="shared" si="21"/>
        <v>0</v>
      </c>
      <c r="AA43" s="362">
        <f t="shared" si="22"/>
        <v>0</v>
      </c>
      <c r="AB43" s="360">
        <f t="shared" si="23"/>
        <v>0</v>
      </c>
      <c r="AC43" s="346"/>
      <c r="AD43" s="346"/>
      <c r="AE43" s="412">
        <f t="shared" si="2"/>
        <v>0</v>
      </c>
      <c r="AF43" s="413">
        <f t="shared" si="3"/>
        <v>0</v>
      </c>
      <c r="AG43" s="413">
        <f t="shared" si="4"/>
        <v>0</v>
      </c>
      <c r="AH43" s="414">
        <f t="shared" si="5"/>
        <v>0</v>
      </c>
      <c r="AI43" s="415">
        <f t="shared" si="6"/>
        <v>0.05</v>
      </c>
      <c r="AJ43" s="416">
        <f t="shared" si="7"/>
        <v>0</v>
      </c>
      <c r="AK43" s="416">
        <f t="shared" si="8"/>
        <v>0</v>
      </c>
      <c r="AL43" s="414">
        <f t="shared" si="9"/>
        <v>0</v>
      </c>
      <c r="AM43" s="414">
        <f t="shared" si="10"/>
        <v>0</v>
      </c>
      <c r="AN43" s="414">
        <f t="shared" si="11"/>
        <v>0</v>
      </c>
      <c r="AO43" s="242">
        <f t="shared" si="12"/>
        <v>0</v>
      </c>
      <c r="AP43" s="172">
        <f t="shared" si="0"/>
        <v>-8701.9894736842107</v>
      </c>
      <c r="AQ43" s="243">
        <f t="shared" si="13"/>
        <v>0</v>
      </c>
      <c r="AR43" s="243">
        <f t="shared" si="1"/>
        <v>-8701.9894736842107</v>
      </c>
    </row>
    <row r="44" spans="1:44" ht="15" x14ac:dyDescent="0.25">
      <c r="A44" s="345"/>
      <c r="B44" s="345" t="s">
        <v>533</v>
      </c>
      <c r="C44" s="266" t="s">
        <v>527</v>
      </c>
      <c r="D44" s="266" t="s">
        <v>409</v>
      </c>
      <c r="E44" s="346" t="s">
        <v>568</v>
      </c>
      <c r="F44" s="346" t="s">
        <v>405</v>
      </c>
      <c r="G44" s="268">
        <v>43084</v>
      </c>
      <c r="H44" s="348">
        <v>10</v>
      </c>
      <c r="I44" s="266">
        <v>10</v>
      </c>
      <c r="J44" s="354"/>
      <c r="K44" s="350"/>
      <c r="L44" s="351"/>
      <c r="M44" s="346">
        <v>252</v>
      </c>
      <c r="N44" s="346">
        <v>10</v>
      </c>
      <c r="O44" s="346">
        <v>504</v>
      </c>
      <c r="P44" s="346">
        <v>2016</v>
      </c>
      <c r="Q44" s="352">
        <f>'[2]Roy Bridge'!G26</f>
        <v>57857.296000000002</v>
      </c>
      <c r="R44" s="346">
        <f>'[2]Roy Bridge'!G32</f>
        <v>5416</v>
      </c>
      <c r="S44" s="362">
        <f t="shared" si="14"/>
        <v>3029.04</v>
      </c>
      <c r="T44" s="362">
        <f t="shared" si="15"/>
        <v>16964.64</v>
      </c>
      <c r="U44" s="363">
        <f t="shared" si="16"/>
        <v>0.18181818181818182</v>
      </c>
      <c r="V44" s="364">
        <f t="shared" si="17"/>
        <v>90.909090909090907</v>
      </c>
      <c r="W44" s="362">
        <f t="shared" si="18"/>
        <v>45.81818181818182</v>
      </c>
      <c r="X44" s="362">
        <f t="shared" si="19"/>
        <v>183.27272727272728</v>
      </c>
      <c r="Y44" s="362">
        <f t="shared" si="20"/>
        <v>550.73454545454547</v>
      </c>
      <c r="Z44" s="362">
        <f t="shared" si="21"/>
        <v>3084.48</v>
      </c>
      <c r="AA44" s="362">
        <f t="shared" si="22"/>
        <v>3635.2145454545453</v>
      </c>
      <c r="AB44" s="360">
        <f t="shared" si="23"/>
        <v>86993.099636363622</v>
      </c>
      <c r="AC44" s="346"/>
      <c r="AD44" s="346"/>
      <c r="AE44" s="425">
        <f t="shared" si="2"/>
        <v>0</v>
      </c>
      <c r="AF44" s="426">
        <f t="shared" si="3"/>
        <v>0</v>
      </c>
      <c r="AG44" s="426">
        <f t="shared" si="4"/>
        <v>0</v>
      </c>
      <c r="AH44" s="427">
        <f t="shared" si="5"/>
        <v>0</v>
      </c>
      <c r="AI44" s="428">
        <f t="shared" si="6"/>
        <v>0.05</v>
      </c>
      <c r="AJ44" s="429">
        <f t="shared" si="7"/>
        <v>0</v>
      </c>
      <c r="AK44" s="429">
        <f t="shared" si="8"/>
        <v>0</v>
      </c>
      <c r="AL44" s="427">
        <f t="shared" si="9"/>
        <v>0</v>
      </c>
      <c r="AM44" s="427">
        <f t="shared" si="10"/>
        <v>0</v>
      </c>
      <c r="AN44" s="427">
        <f t="shared" si="11"/>
        <v>0</v>
      </c>
      <c r="AO44" s="430">
        <f t="shared" si="12"/>
        <v>86993.099636363622</v>
      </c>
      <c r="AP44" s="431">
        <f t="shared" si="0"/>
        <v>72489.783846889943</v>
      </c>
      <c r="AQ44" s="432">
        <f t="shared" si="13"/>
        <v>86993.099636363622</v>
      </c>
      <c r="AR44" s="432">
        <f t="shared" si="1"/>
        <v>72489.783846889943</v>
      </c>
    </row>
    <row r="45" spans="1:44" ht="15" x14ac:dyDescent="0.25">
      <c r="A45" s="345"/>
      <c r="B45" s="345" t="s">
        <v>526</v>
      </c>
      <c r="C45" s="266" t="s">
        <v>566</v>
      </c>
      <c r="D45" s="266" t="s">
        <v>387</v>
      </c>
      <c r="E45" s="346" t="s">
        <v>570</v>
      </c>
      <c r="F45" s="346" t="s">
        <v>391</v>
      </c>
      <c r="G45" s="268">
        <v>43084</v>
      </c>
      <c r="H45" s="348">
        <v>5</v>
      </c>
      <c r="I45" s="266">
        <v>5</v>
      </c>
      <c r="J45" s="349"/>
      <c r="K45" s="350"/>
      <c r="L45" s="351"/>
      <c r="M45" s="346">
        <v>138</v>
      </c>
      <c r="N45" s="346">
        <v>8</v>
      </c>
      <c r="O45" s="346">
        <v>276</v>
      </c>
      <c r="P45" s="346">
        <v>2208</v>
      </c>
      <c r="Q45" s="352">
        <f>'[2]Dalmally 2'!G26</f>
        <v>27298.3776</v>
      </c>
      <c r="R45" s="346">
        <f>'[2]Dalmally 2'!G32</f>
        <v>4832</v>
      </c>
      <c r="S45" s="362">
        <f t="shared" si="14"/>
        <v>1658.76</v>
      </c>
      <c r="T45" s="362">
        <f t="shared" si="15"/>
        <v>18580.32</v>
      </c>
      <c r="U45" s="363">
        <f t="shared" si="16"/>
        <v>0.14545454545454545</v>
      </c>
      <c r="V45" s="364">
        <f t="shared" si="17"/>
        <v>72.72727272727272</v>
      </c>
      <c r="W45" s="362">
        <f t="shared" si="18"/>
        <v>20.072727272727271</v>
      </c>
      <c r="X45" s="362">
        <f t="shared" si="19"/>
        <v>80.290909090909082</v>
      </c>
      <c r="Y45" s="362">
        <f t="shared" si="20"/>
        <v>241.2741818181818</v>
      </c>
      <c r="Z45" s="362">
        <f t="shared" si="21"/>
        <v>1351.2959999999998</v>
      </c>
      <c r="AA45" s="362">
        <f t="shared" si="22"/>
        <v>1592.5701818181817</v>
      </c>
      <c r="AB45" s="360">
        <f t="shared" si="23"/>
        <v>54034.755054545458</v>
      </c>
      <c r="AC45" s="346">
        <v>0</v>
      </c>
      <c r="AD45" s="346">
        <v>0</v>
      </c>
      <c r="AE45" s="412">
        <f t="shared" si="2"/>
        <v>0</v>
      </c>
      <c r="AF45" s="413">
        <f t="shared" si="3"/>
        <v>0</v>
      </c>
      <c r="AG45" s="413">
        <f t="shared" si="4"/>
        <v>0</v>
      </c>
      <c r="AH45" s="414">
        <f t="shared" si="5"/>
        <v>0</v>
      </c>
      <c r="AI45" s="415">
        <f t="shared" si="6"/>
        <v>0.05</v>
      </c>
      <c r="AJ45" s="416">
        <f t="shared" si="7"/>
        <v>0</v>
      </c>
      <c r="AK45" s="416">
        <f t="shared" si="8"/>
        <v>0</v>
      </c>
      <c r="AL45" s="414">
        <f t="shared" si="9"/>
        <v>0</v>
      </c>
      <c r="AM45" s="414">
        <f t="shared" si="10"/>
        <v>0</v>
      </c>
      <c r="AN45" s="414">
        <f t="shared" si="11"/>
        <v>0</v>
      </c>
      <c r="AO45" s="242">
        <f t="shared" si="12"/>
        <v>54034.755054545458</v>
      </c>
      <c r="AP45" s="172">
        <f t="shared" si="0"/>
        <v>46783.097159808618</v>
      </c>
      <c r="AQ45" s="243">
        <f t="shared" si="13"/>
        <v>54034.755054545458</v>
      </c>
      <c r="AR45" s="243">
        <f t="shared" si="1"/>
        <v>46783.097159808618</v>
      </c>
    </row>
    <row r="46" spans="1:44" ht="15" x14ac:dyDescent="0.25">
      <c r="A46" s="381" t="s">
        <v>571</v>
      </c>
      <c r="B46" s="249" t="s">
        <v>526</v>
      </c>
      <c r="C46" s="387" t="s">
        <v>563</v>
      </c>
      <c r="D46" s="387" t="s">
        <v>486</v>
      </c>
      <c r="E46" s="387" t="s">
        <v>572</v>
      </c>
      <c r="F46" s="387" t="s">
        <v>477</v>
      </c>
      <c r="G46" s="260">
        <v>43119</v>
      </c>
      <c r="H46" s="433">
        <v>13</v>
      </c>
      <c r="I46" s="387">
        <v>13</v>
      </c>
      <c r="J46" s="382">
        <f>SUM(I46:I47)/(($K$8-$K$9)/$K$10)</f>
        <v>0.504</v>
      </c>
      <c r="K46" s="383">
        <v>24000</v>
      </c>
      <c r="L46" s="384">
        <v>22917.119999999999</v>
      </c>
      <c r="M46" s="387">
        <v>31</v>
      </c>
      <c r="N46" s="387">
        <v>10</v>
      </c>
      <c r="O46" s="387">
        <v>62</v>
      </c>
      <c r="P46" s="387">
        <v>372</v>
      </c>
      <c r="Q46" s="386">
        <f>[2]Duncrub!G26</f>
        <v>31235.472000000002</v>
      </c>
      <c r="R46" s="387">
        <f>[2]Duncrub!G32</f>
        <v>3944</v>
      </c>
      <c r="S46" s="388">
        <f t="shared" si="14"/>
        <v>372.62</v>
      </c>
      <c r="T46" s="388">
        <f t="shared" si="15"/>
        <v>3130.3799999999997</v>
      </c>
      <c r="U46" s="389">
        <f t="shared" si="16"/>
        <v>0.18181818181818182</v>
      </c>
      <c r="V46" s="390">
        <f t="shared" si="17"/>
        <v>90.909090909090907</v>
      </c>
      <c r="W46" s="388">
        <f t="shared" si="18"/>
        <v>5.6363636363636367</v>
      </c>
      <c r="X46" s="388">
        <f t="shared" si="19"/>
        <v>22.545454545454547</v>
      </c>
      <c r="Y46" s="388">
        <f t="shared" si="20"/>
        <v>67.74909090909091</v>
      </c>
      <c r="Z46" s="388">
        <f t="shared" si="21"/>
        <v>379.44</v>
      </c>
      <c r="AA46" s="388">
        <f t="shared" si="22"/>
        <v>447.18909090909091</v>
      </c>
      <c r="AB46" s="391">
        <f t="shared" si="23"/>
        <v>39220.570181818184</v>
      </c>
      <c r="AC46" s="387">
        <v>0</v>
      </c>
      <c r="AD46" s="387">
        <v>0</v>
      </c>
      <c r="AE46" s="392">
        <f t="shared" si="2"/>
        <v>0</v>
      </c>
      <c r="AF46" s="393">
        <f t="shared" si="3"/>
        <v>0</v>
      </c>
      <c r="AG46" s="393">
        <f t="shared" si="4"/>
        <v>0</v>
      </c>
      <c r="AH46" s="394">
        <f t="shared" si="5"/>
        <v>0</v>
      </c>
      <c r="AI46" s="395">
        <f t="shared" si="6"/>
        <v>0.05</v>
      </c>
      <c r="AJ46" s="396">
        <f t="shared" si="7"/>
        <v>0</v>
      </c>
      <c r="AK46" s="396">
        <f t="shared" si="8"/>
        <v>0</v>
      </c>
      <c r="AL46" s="394">
        <f t="shared" si="9"/>
        <v>0</v>
      </c>
      <c r="AM46" s="394">
        <f t="shared" si="10"/>
        <v>0</v>
      </c>
      <c r="AN46" s="394">
        <f t="shared" si="11"/>
        <v>0</v>
      </c>
      <c r="AO46" s="242">
        <f t="shared" si="12"/>
        <v>39220.570181818184</v>
      </c>
      <c r="AP46" s="172">
        <f t="shared" si="0"/>
        <v>20366.259655502396</v>
      </c>
      <c r="AQ46" s="243">
        <f t="shared" si="13"/>
        <v>39220.570181818184</v>
      </c>
      <c r="AR46" s="243">
        <f t="shared" si="1"/>
        <v>20366.259655502396</v>
      </c>
    </row>
    <row r="47" spans="1:44" ht="15" x14ac:dyDescent="0.25">
      <c r="A47" s="381"/>
      <c r="B47" s="387" t="s">
        <v>526</v>
      </c>
      <c r="C47" s="387" t="s">
        <v>542</v>
      </c>
      <c r="D47" s="387" t="s">
        <v>387</v>
      </c>
      <c r="E47" s="387" t="s">
        <v>573</v>
      </c>
      <c r="F47" s="387" t="s">
        <v>574</v>
      </c>
      <c r="G47" s="260">
        <v>43131</v>
      </c>
      <c r="H47" s="433">
        <v>8</v>
      </c>
      <c r="I47" s="387">
        <v>8</v>
      </c>
      <c r="J47" s="397"/>
      <c r="K47" s="383"/>
      <c r="L47" s="384"/>
      <c r="M47" s="387">
        <v>16</v>
      </c>
      <c r="N47" s="387">
        <v>10</v>
      </c>
      <c r="O47" s="387">
        <v>32</v>
      </c>
      <c r="P47" s="387">
        <v>192</v>
      </c>
      <c r="Q47" s="386">
        <f>[2]Culdrain!G26</f>
        <v>1889.0944</v>
      </c>
      <c r="R47" s="387">
        <f>[2]Culdrain!G32</f>
        <v>1612</v>
      </c>
      <c r="S47" s="388">
        <f t="shared" si="14"/>
        <v>192.32</v>
      </c>
      <c r="T47" s="388">
        <f t="shared" si="15"/>
        <v>1615.6799999999998</v>
      </c>
      <c r="U47" s="389">
        <f t="shared" si="16"/>
        <v>0.18181818181818182</v>
      </c>
      <c r="V47" s="390">
        <f t="shared" si="17"/>
        <v>90.909090909090907</v>
      </c>
      <c r="W47" s="388">
        <f t="shared" si="18"/>
        <v>2.9090909090909092</v>
      </c>
      <c r="X47" s="388">
        <f t="shared" si="19"/>
        <v>11.636363636363637</v>
      </c>
      <c r="Y47" s="388">
        <f t="shared" si="20"/>
        <v>34.967272727272729</v>
      </c>
      <c r="Z47" s="388">
        <f t="shared" si="21"/>
        <v>195.83999999999997</v>
      </c>
      <c r="AA47" s="388">
        <f t="shared" si="22"/>
        <v>230.8072727272727</v>
      </c>
      <c r="AB47" s="391">
        <f t="shared" si="23"/>
        <v>5630.8107636363638</v>
      </c>
      <c r="AC47" s="387">
        <v>1774</v>
      </c>
      <c r="AD47" s="387">
        <v>8</v>
      </c>
      <c r="AE47" s="392">
        <f t="shared" si="2"/>
        <v>14192</v>
      </c>
      <c r="AF47" s="393">
        <f t="shared" si="3"/>
        <v>21323.48</v>
      </c>
      <c r="AG47" s="393">
        <f t="shared" si="4"/>
        <v>238851.36</v>
      </c>
      <c r="AH47" s="394">
        <f t="shared" si="5"/>
        <v>260174.84</v>
      </c>
      <c r="AI47" s="395">
        <f t="shared" si="6"/>
        <v>0.05</v>
      </c>
      <c r="AJ47" s="396">
        <f t="shared" si="7"/>
        <v>88.7</v>
      </c>
      <c r="AK47" s="396">
        <f t="shared" si="8"/>
        <v>709.6</v>
      </c>
      <c r="AL47" s="394">
        <f t="shared" si="9"/>
        <v>13008.742</v>
      </c>
      <c r="AM47" s="394">
        <f t="shared" si="10"/>
        <v>1066.174</v>
      </c>
      <c r="AN47" s="394">
        <f t="shared" si="11"/>
        <v>11942.567999999999</v>
      </c>
      <c r="AO47" s="242">
        <f t="shared" si="12"/>
        <v>265805.65076363634</v>
      </c>
      <c r="AP47" s="172">
        <f t="shared" si="0"/>
        <v>254202.9981320574</v>
      </c>
      <c r="AQ47" s="243">
        <f t="shared" si="13"/>
        <v>18639.552763636362</v>
      </c>
      <c r="AR47" s="243">
        <f t="shared" si="1"/>
        <v>7036.9001320574152</v>
      </c>
    </row>
    <row r="48" spans="1:44" ht="15" x14ac:dyDescent="0.25">
      <c r="A48" s="345" t="s">
        <v>575</v>
      </c>
      <c r="B48" s="345" t="s">
        <v>526</v>
      </c>
      <c r="C48" s="346" t="s">
        <v>542</v>
      </c>
      <c r="D48" s="346" t="s">
        <v>387</v>
      </c>
      <c r="E48" s="346" t="s">
        <v>573</v>
      </c>
      <c r="F48" s="346" t="s">
        <v>574</v>
      </c>
      <c r="G48" s="347">
        <v>43140</v>
      </c>
      <c r="H48" s="348">
        <v>7</v>
      </c>
      <c r="I48" s="346">
        <v>7</v>
      </c>
      <c r="J48" s="349">
        <f>SUM(I48:I50)/(($K$8-$K$9)/$K$10)</f>
        <v>0.48000000000000004</v>
      </c>
      <c r="K48" s="350">
        <v>24000</v>
      </c>
      <c r="L48" s="351">
        <v>8031.22</v>
      </c>
      <c r="M48" s="409"/>
      <c r="N48" s="410"/>
      <c r="O48" s="409"/>
      <c r="P48" s="409"/>
      <c r="Q48" s="411"/>
      <c r="R48" s="296"/>
      <c r="S48" s="362">
        <f t="shared" si="14"/>
        <v>0</v>
      </c>
      <c r="T48" s="362">
        <f t="shared" si="15"/>
        <v>0</v>
      </c>
      <c r="U48" s="363">
        <f t="shared" si="16"/>
        <v>0</v>
      </c>
      <c r="V48" s="364">
        <f t="shared" si="17"/>
        <v>0</v>
      </c>
      <c r="W48" s="362">
        <f t="shared" si="18"/>
        <v>0</v>
      </c>
      <c r="X48" s="362">
        <f t="shared" si="19"/>
        <v>0</v>
      </c>
      <c r="Y48" s="362">
        <f t="shared" si="20"/>
        <v>0</v>
      </c>
      <c r="Z48" s="362">
        <f t="shared" si="21"/>
        <v>0</v>
      </c>
      <c r="AA48" s="362">
        <f t="shared" si="22"/>
        <v>0</v>
      </c>
      <c r="AB48" s="360">
        <f t="shared" si="23"/>
        <v>0</v>
      </c>
      <c r="AC48" s="296"/>
      <c r="AD48" s="296"/>
      <c r="AE48" s="412">
        <f t="shared" si="2"/>
        <v>0</v>
      </c>
      <c r="AF48" s="413">
        <f t="shared" si="3"/>
        <v>0</v>
      </c>
      <c r="AG48" s="413">
        <f t="shared" si="4"/>
        <v>0</v>
      </c>
      <c r="AH48" s="414">
        <f t="shared" si="5"/>
        <v>0</v>
      </c>
      <c r="AI48" s="415">
        <f t="shared" si="6"/>
        <v>0.05</v>
      </c>
      <c r="AJ48" s="416">
        <f t="shared" si="7"/>
        <v>0</v>
      </c>
      <c r="AK48" s="416">
        <f t="shared" si="8"/>
        <v>0</v>
      </c>
      <c r="AL48" s="414">
        <f t="shared" si="9"/>
        <v>0</v>
      </c>
      <c r="AM48" s="414">
        <f t="shared" si="10"/>
        <v>0</v>
      </c>
      <c r="AN48" s="414">
        <f t="shared" si="11"/>
        <v>0</v>
      </c>
      <c r="AO48" s="242">
        <f t="shared" si="12"/>
        <v>0</v>
      </c>
      <c r="AP48" s="172">
        <f t="shared" si="0"/>
        <v>-10152.321052631578</v>
      </c>
      <c r="AQ48" s="243">
        <f t="shared" si="13"/>
        <v>0</v>
      </c>
      <c r="AR48" s="243">
        <f t="shared" si="1"/>
        <v>-10152.321052631578</v>
      </c>
    </row>
    <row r="49" spans="1:44" ht="15" x14ac:dyDescent="0.25">
      <c r="A49" s="345"/>
      <c r="B49" s="345" t="s">
        <v>533</v>
      </c>
      <c r="C49" s="266" t="s">
        <v>542</v>
      </c>
      <c r="D49" s="346" t="s">
        <v>387</v>
      </c>
      <c r="E49" s="346" t="s">
        <v>576</v>
      </c>
      <c r="F49" s="346" t="s">
        <v>396</v>
      </c>
      <c r="G49" s="347">
        <v>43154</v>
      </c>
      <c r="H49" s="348">
        <v>10</v>
      </c>
      <c r="I49" s="346">
        <v>10</v>
      </c>
      <c r="J49" s="354"/>
      <c r="K49" s="350"/>
      <c r="L49" s="351"/>
      <c r="M49" s="346">
        <v>13</v>
      </c>
      <c r="N49" s="346">
        <v>10</v>
      </c>
      <c r="O49" s="346">
        <v>26</v>
      </c>
      <c r="P49" s="346">
        <v>156</v>
      </c>
      <c r="Q49" s="352">
        <f>[2]Rowardennon!G26</f>
        <v>29753.648000000001</v>
      </c>
      <c r="R49" s="346">
        <f>[2]Rowardennon!G32</f>
        <v>4712</v>
      </c>
      <c r="S49" s="362">
        <f t="shared" si="14"/>
        <v>156.26</v>
      </c>
      <c r="T49" s="362">
        <f t="shared" si="15"/>
        <v>1312.7399999999998</v>
      </c>
      <c r="U49" s="363">
        <f t="shared" si="16"/>
        <v>0.18181818181818182</v>
      </c>
      <c r="V49" s="364">
        <f t="shared" si="17"/>
        <v>90.909090909090907</v>
      </c>
      <c r="W49" s="362">
        <f t="shared" si="18"/>
        <v>2.3636363636363638</v>
      </c>
      <c r="X49" s="362">
        <f t="shared" si="19"/>
        <v>9.454545454545455</v>
      </c>
      <c r="Y49" s="362">
        <f t="shared" si="20"/>
        <v>28.41090909090909</v>
      </c>
      <c r="Z49" s="362">
        <f t="shared" si="21"/>
        <v>159.12</v>
      </c>
      <c r="AA49" s="362">
        <f t="shared" si="22"/>
        <v>187.53090909090909</v>
      </c>
      <c r="AB49" s="360">
        <f t="shared" si="23"/>
        <v>36213.087999999996</v>
      </c>
      <c r="AC49" s="346">
        <v>0</v>
      </c>
      <c r="AD49" s="346">
        <v>0</v>
      </c>
      <c r="AE49" s="412">
        <f t="shared" si="2"/>
        <v>0</v>
      </c>
      <c r="AF49" s="413">
        <f t="shared" si="3"/>
        <v>0</v>
      </c>
      <c r="AG49" s="413">
        <f t="shared" si="4"/>
        <v>0</v>
      </c>
      <c r="AH49" s="414">
        <f t="shared" si="5"/>
        <v>0</v>
      </c>
      <c r="AI49" s="415">
        <f t="shared" si="6"/>
        <v>0.05</v>
      </c>
      <c r="AJ49" s="416">
        <f t="shared" si="7"/>
        <v>0</v>
      </c>
      <c r="AK49" s="416">
        <f t="shared" si="8"/>
        <v>0</v>
      </c>
      <c r="AL49" s="414">
        <f t="shared" si="9"/>
        <v>0</v>
      </c>
      <c r="AM49" s="414">
        <f t="shared" si="10"/>
        <v>0</v>
      </c>
      <c r="AN49" s="414">
        <f t="shared" si="11"/>
        <v>0</v>
      </c>
      <c r="AO49" s="242">
        <f t="shared" si="12"/>
        <v>36213.087999999996</v>
      </c>
      <c r="AP49" s="172">
        <f t="shared" si="0"/>
        <v>21709.772210526313</v>
      </c>
      <c r="AQ49" s="243">
        <f t="shared" si="13"/>
        <v>36213.087999999996</v>
      </c>
      <c r="AR49" s="243">
        <f t="shared" si="1"/>
        <v>21709.772210526313</v>
      </c>
    </row>
    <row r="50" spans="1:44" ht="15" x14ac:dyDescent="0.25">
      <c r="A50" s="345"/>
      <c r="B50" s="345" t="s">
        <v>533</v>
      </c>
      <c r="C50" s="346" t="s">
        <v>542</v>
      </c>
      <c r="D50" s="346" t="s">
        <v>387</v>
      </c>
      <c r="E50" s="346" t="s">
        <v>577</v>
      </c>
      <c r="F50" s="346" t="s">
        <v>396</v>
      </c>
      <c r="G50" s="347">
        <v>43159</v>
      </c>
      <c r="H50" s="348">
        <v>3</v>
      </c>
      <c r="I50" s="275">
        <v>3</v>
      </c>
      <c r="J50" s="350"/>
      <c r="K50" s="350"/>
      <c r="L50" s="351"/>
      <c r="M50" s="346">
        <v>6</v>
      </c>
      <c r="N50" s="346">
        <v>3</v>
      </c>
      <c r="O50" s="346">
        <v>12</v>
      </c>
      <c r="P50" s="346">
        <v>72</v>
      </c>
      <c r="Q50" s="352">
        <f>[2]Culdrain!G26</f>
        <v>1889.0944</v>
      </c>
      <c r="R50" s="346">
        <f>[2]Culdrain!G32</f>
        <v>1612</v>
      </c>
      <c r="S50" s="362">
        <f t="shared" si="14"/>
        <v>72.12</v>
      </c>
      <c r="T50" s="362">
        <f t="shared" si="15"/>
        <v>605.87999999999988</v>
      </c>
      <c r="U50" s="363">
        <f t="shared" si="16"/>
        <v>5.4545454545454543E-2</v>
      </c>
      <c r="V50" s="364">
        <f t="shared" si="17"/>
        <v>27.27272727272727</v>
      </c>
      <c r="W50" s="362">
        <f t="shared" si="18"/>
        <v>0.32727272727272727</v>
      </c>
      <c r="X50" s="362">
        <f t="shared" si="19"/>
        <v>1.3090909090909091</v>
      </c>
      <c r="Y50" s="362">
        <f t="shared" si="20"/>
        <v>3.9338181818181819</v>
      </c>
      <c r="Z50" s="362">
        <f t="shared" si="21"/>
        <v>22.031999999999996</v>
      </c>
      <c r="AA50" s="362">
        <f t="shared" si="22"/>
        <v>25.965818181818179</v>
      </c>
      <c r="AB50" s="360">
        <f t="shared" si="23"/>
        <v>4232.3329454545456</v>
      </c>
      <c r="AC50" s="346">
        <v>0</v>
      </c>
      <c r="AD50" s="346">
        <v>0</v>
      </c>
      <c r="AE50" s="412">
        <f t="shared" si="2"/>
        <v>0</v>
      </c>
      <c r="AF50" s="413">
        <f t="shared" si="3"/>
        <v>0</v>
      </c>
      <c r="AG50" s="413">
        <f t="shared" si="4"/>
        <v>0</v>
      </c>
      <c r="AH50" s="414">
        <f t="shared" si="5"/>
        <v>0</v>
      </c>
      <c r="AI50" s="415">
        <f t="shared" si="6"/>
        <v>0.05</v>
      </c>
      <c r="AJ50" s="416">
        <f t="shared" si="7"/>
        <v>0</v>
      </c>
      <c r="AK50" s="416">
        <f t="shared" si="8"/>
        <v>0</v>
      </c>
      <c r="AL50" s="414">
        <f t="shared" si="9"/>
        <v>0</v>
      </c>
      <c r="AM50" s="414">
        <f t="shared" si="10"/>
        <v>0</v>
      </c>
      <c r="AN50" s="414">
        <f t="shared" si="11"/>
        <v>0</v>
      </c>
      <c r="AO50" s="242">
        <f t="shared" si="12"/>
        <v>4232.3329454545456</v>
      </c>
      <c r="AP50" s="172">
        <f t="shared" si="0"/>
        <v>-118.66179138755979</v>
      </c>
      <c r="AQ50" s="243">
        <f t="shared" si="13"/>
        <v>4232.3329454545456</v>
      </c>
      <c r="AR50" s="243">
        <f t="shared" si="1"/>
        <v>-118.66179138755979</v>
      </c>
    </row>
    <row r="51" spans="1:44" ht="15" x14ac:dyDescent="0.25">
      <c r="A51" s="381" t="s">
        <v>578</v>
      </c>
      <c r="B51" s="249" t="s">
        <v>526</v>
      </c>
      <c r="C51" s="387" t="s">
        <v>527</v>
      </c>
      <c r="D51" s="387" t="s">
        <v>579</v>
      </c>
      <c r="E51" s="387" t="s">
        <v>577</v>
      </c>
      <c r="F51" s="387" t="s">
        <v>396</v>
      </c>
      <c r="G51" s="434">
        <v>43168</v>
      </c>
      <c r="H51" s="433">
        <v>8</v>
      </c>
      <c r="I51" s="387">
        <v>8</v>
      </c>
      <c r="J51" s="382">
        <f>SUM(I51:I53)/(($K$8-$K$9)/$K$10)</f>
        <v>0.55200000000000005</v>
      </c>
      <c r="K51" s="383">
        <v>24000</v>
      </c>
      <c r="L51" s="384">
        <v>13437.03</v>
      </c>
      <c r="M51" s="410"/>
      <c r="N51" s="410"/>
      <c r="O51" s="410"/>
      <c r="P51" s="410"/>
      <c r="Q51" s="386"/>
      <c r="R51" s="387"/>
      <c r="S51" s="388">
        <f t="shared" si="14"/>
        <v>0</v>
      </c>
      <c r="T51" s="388">
        <f t="shared" si="15"/>
        <v>0</v>
      </c>
      <c r="U51" s="389">
        <f t="shared" si="16"/>
        <v>0</v>
      </c>
      <c r="V51" s="390">
        <f t="shared" si="17"/>
        <v>0</v>
      </c>
      <c r="W51" s="388">
        <f t="shared" si="18"/>
        <v>0</v>
      </c>
      <c r="X51" s="388">
        <f t="shared" si="19"/>
        <v>0</v>
      </c>
      <c r="Y51" s="388">
        <f t="shared" si="20"/>
        <v>0</v>
      </c>
      <c r="Z51" s="388">
        <f t="shared" si="21"/>
        <v>0</v>
      </c>
      <c r="AA51" s="388">
        <f t="shared" si="22"/>
        <v>0</v>
      </c>
      <c r="AB51" s="391">
        <f t="shared" si="23"/>
        <v>0</v>
      </c>
      <c r="AC51" s="387"/>
      <c r="AD51" s="387"/>
      <c r="AE51" s="392">
        <f t="shared" si="2"/>
        <v>0</v>
      </c>
      <c r="AF51" s="393">
        <f t="shared" si="3"/>
        <v>0</v>
      </c>
      <c r="AG51" s="393">
        <f t="shared" si="4"/>
        <v>0</v>
      </c>
      <c r="AH51" s="394">
        <f t="shared" si="5"/>
        <v>0</v>
      </c>
      <c r="AI51" s="395">
        <f t="shared" si="6"/>
        <v>0.05</v>
      </c>
      <c r="AJ51" s="396">
        <f t="shared" si="7"/>
        <v>0</v>
      </c>
      <c r="AK51" s="396">
        <f t="shared" si="8"/>
        <v>0</v>
      </c>
      <c r="AL51" s="394">
        <f t="shared" si="9"/>
        <v>0</v>
      </c>
      <c r="AM51" s="394">
        <f t="shared" si="10"/>
        <v>0</v>
      </c>
      <c r="AN51" s="394">
        <f t="shared" si="11"/>
        <v>0</v>
      </c>
      <c r="AO51" s="242">
        <f t="shared" si="12"/>
        <v>0</v>
      </c>
      <c r="AP51" s="172">
        <f t="shared" si="0"/>
        <v>-11602.652631578947</v>
      </c>
      <c r="AQ51" s="243">
        <f t="shared" si="13"/>
        <v>0</v>
      </c>
      <c r="AR51" s="243">
        <f t="shared" si="1"/>
        <v>-11602.652631578947</v>
      </c>
    </row>
    <row r="52" spans="1:44" ht="15" x14ac:dyDescent="0.25">
      <c r="A52" s="381"/>
      <c r="B52" s="387" t="s">
        <v>526</v>
      </c>
      <c r="C52" s="387" t="s">
        <v>563</v>
      </c>
      <c r="D52" s="387" t="s">
        <v>486</v>
      </c>
      <c r="E52" s="387" t="s">
        <v>580</v>
      </c>
      <c r="F52" s="387" t="s">
        <v>581</v>
      </c>
      <c r="G52" s="260">
        <v>43175</v>
      </c>
      <c r="H52" s="252">
        <v>5</v>
      </c>
      <c r="I52" s="387">
        <v>5</v>
      </c>
      <c r="J52" s="397"/>
      <c r="K52" s="383"/>
      <c r="L52" s="383"/>
      <c r="M52" s="249">
        <v>0</v>
      </c>
      <c r="N52" s="249">
        <v>0</v>
      </c>
      <c r="O52" s="249">
        <v>0</v>
      </c>
      <c r="P52" s="249">
        <v>0</v>
      </c>
      <c r="Q52" s="249">
        <v>0</v>
      </c>
      <c r="R52" s="249">
        <v>0</v>
      </c>
      <c r="S52" s="388">
        <f t="shared" si="14"/>
        <v>0</v>
      </c>
      <c r="T52" s="388">
        <f t="shared" si="15"/>
        <v>0</v>
      </c>
      <c r="U52" s="389">
        <f t="shared" si="16"/>
        <v>0</v>
      </c>
      <c r="V52" s="390">
        <f t="shared" si="17"/>
        <v>0</v>
      </c>
      <c r="W52" s="388">
        <f t="shared" si="18"/>
        <v>0</v>
      </c>
      <c r="X52" s="388">
        <f t="shared" si="19"/>
        <v>0</v>
      </c>
      <c r="Y52" s="388">
        <f t="shared" si="20"/>
        <v>0</v>
      </c>
      <c r="Z52" s="388">
        <f t="shared" si="21"/>
        <v>0</v>
      </c>
      <c r="AA52" s="388">
        <f t="shared" si="22"/>
        <v>0</v>
      </c>
      <c r="AB52" s="391">
        <f t="shared" si="23"/>
        <v>0</v>
      </c>
      <c r="AC52" s="249">
        <v>4034</v>
      </c>
      <c r="AD52" s="249">
        <v>8</v>
      </c>
      <c r="AE52" s="392">
        <f t="shared" si="2"/>
        <v>32272</v>
      </c>
      <c r="AF52" s="393">
        <f t="shared" si="3"/>
        <v>48488.68</v>
      </c>
      <c r="AG52" s="393">
        <f t="shared" si="4"/>
        <v>543137.75999999989</v>
      </c>
      <c r="AH52" s="394">
        <f t="shared" si="5"/>
        <v>591626.43999999994</v>
      </c>
      <c r="AI52" s="395">
        <f t="shared" si="6"/>
        <v>0.05</v>
      </c>
      <c r="AJ52" s="396">
        <f t="shared" si="7"/>
        <v>201.70000000000002</v>
      </c>
      <c r="AK52" s="396">
        <f t="shared" si="8"/>
        <v>1613.6000000000001</v>
      </c>
      <c r="AL52" s="394">
        <f t="shared" si="9"/>
        <v>29581.322</v>
      </c>
      <c r="AM52" s="394">
        <f t="shared" si="10"/>
        <v>2424.4340000000002</v>
      </c>
      <c r="AN52" s="394">
        <f t="shared" si="11"/>
        <v>27156.887999999995</v>
      </c>
      <c r="AO52" s="242">
        <f t="shared" si="12"/>
        <v>591626.43999999994</v>
      </c>
      <c r="AP52" s="172">
        <f t="shared" si="0"/>
        <v>584374.78210526309</v>
      </c>
      <c r="AQ52" s="243">
        <f t="shared" si="13"/>
        <v>29581.322</v>
      </c>
      <c r="AR52" s="243">
        <f t="shared" si="1"/>
        <v>22329.66410526316</v>
      </c>
    </row>
    <row r="53" spans="1:44" ht="15" x14ac:dyDescent="0.25">
      <c r="A53" s="381"/>
      <c r="B53" s="387" t="s">
        <v>526</v>
      </c>
      <c r="C53" s="387" t="s">
        <v>547</v>
      </c>
      <c r="D53" s="387" t="s">
        <v>409</v>
      </c>
      <c r="E53" s="387" t="s">
        <v>582</v>
      </c>
      <c r="F53" s="387" t="s">
        <v>530</v>
      </c>
      <c r="G53" s="434">
        <v>43190</v>
      </c>
      <c r="H53" s="433">
        <v>10</v>
      </c>
      <c r="I53" s="387">
        <v>10</v>
      </c>
      <c r="J53" s="383"/>
      <c r="K53" s="383"/>
      <c r="L53" s="383"/>
      <c r="M53" s="387">
        <v>49</v>
      </c>
      <c r="N53" s="387">
        <v>10</v>
      </c>
      <c r="O53" s="387">
        <v>98</v>
      </c>
      <c r="P53" s="387">
        <v>784</v>
      </c>
      <c r="Q53" s="386">
        <f>[2]Dores!G26</f>
        <v>52880</v>
      </c>
      <c r="R53" s="387">
        <f>[2]Dores!G32</f>
        <v>4712</v>
      </c>
      <c r="S53" s="388">
        <f t="shared" si="14"/>
        <v>588.98</v>
      </c>
      <c r="T53" s="388">
        <f t="shared" si="15"/>
        <v>6597.36</v>
      </c>
      <c r="U53" s="389">
        <f t="shared" si="16"/>
        <v>0.18181818181818182</v>
      </c>
      <c r="V53" s="390">
        <f t="shared" si="17"/>
        <v>90.909090909090907</v>
      </c>
      <c r="W53" s="388">
        <f t="shared" si="18"/>
        <v>8.9090909090909101</v>
      </c>
      <c r="X53" s="388">
        <f t="shared" si="19"/>
        <v>35.63636363636364</v>
      </c>
      <c r="Y53" s="388">
        <f t="shared" si="20"/>
        <v>107.08727272727273</v>
      </c>
      <c r="Z53" s="388">
        <f t="shared" si="21"/>
        <v>599.76</v>
      </c>
      <c r="AA53" s="388">
        <f t="shared" si="22"/>
        <v>706.84727272727275</v>
      </c>
      <c r="AB53" s="391">
        <f t="shared" si="23"/>
        <v>65576.096363636359</v>
      </c>
      <c r="AC53" s="387">
        <v>0</v>
      </c>
      <c r="AD53" s="387">
        <v>0</v>
      </c>
      <c r="AE53" s="392">
        <f t="shared" si="2"/>
        <v>0</v>
      </c>
      <c r="AF53" s="393">
        <f t="shared" si="3"/>
        <v>0</v>
      </c>
      <c r="AG53" s="393">
        <f t="shared" si="4"/>
        <v>0</v>
      </c>
      <c r="AH53" s="394">
        <f t="shared" si="5"/>
        <v>0</v>
      </c>
      <c r="AI53" s="395">
        <f t="shared" si="6"/>
        <v>0.05</v>
      </c>
      <c r="AJ53" s="396">
        <f t="shared" si="7"/>
        <v>0</v>
      </c>
      <c r="AK53" s="396">
        <f t="shared" si="8"/>
        <v>0</v>
      </c>
      <c r="AL53" s="394">
        <f t="shared" si="9"/>
        <v>0</v>
      </c>
      <c r="AM53" s="394">
        <f t="shared" si="10"/>
        <v>0</v>
      </c>
      <c r="AN53" s="394">
        <f t="shared" si="11"/>
        <v>0</v>
      </c>
      <c r="AO53" s="242">
        <f t="shared" si="12"/>
        <v>65576.096363636359</v>
      </c>
      <c r="AP53" s="172">
        <f t="shared" si="0"/>
        <v>51072.78057416268</v>
      </c>
      <c r="AQ53" s="243">
        <f t="shared" si="13"/>
        <v>65576.096363636359</v>
      </c>
      <c r="AR53" s="243">
        <f t="shared" si="1"/>
        <v>51072.78057416268</v>
      </c>
    </row>
    <row r="54" spans="1:44" x14ac:dyDescent="0.2">
      <c r="K54" s="326"/>
      <c r="L54" s="326"/>
      <c r="S54" s="435"/>
      <c r="T54" s="435"/>
      <c r="U54" s="435"/>
      <c r="V54" s="435"/>
      <c r="W54" s="435"/>
      <c r="X54" s="435"/>
      <c r="Y54" s="435"/>
      <c r="Z54" s="435"/>
      <c r="AA54" s="435"/>
      <c r="AB54" s="436"/>
      <c r="AF54" s="435"/>
      <c r="AG54" s="437"/>
      <c r="AH54" s="329"/>
      <c r="AI54" s="438"/>
      <c r="AJ54" s="439"/>
      <c r="AK54" s="439"/>
      <c r="AL54" s="329"/>
      <c r="AM54" s="329"/>
      <c r="AN54" s="329"/>
      <c r="AO54" s="329"/>
      <c r="AP54" s="329"/>
      <c r="AQ54" s="329"/>
    </row>
    <row r="55" spans="1:44" x14ac:dyDescent="0.2">
      <c r="K55" s="326"/>
      <c r="L55" s="326"/>
      <c r="S55" s="435"/>
      <c r="T55" s="435"/>
      <c r="U55" s="435"/>
      <c r="V55" s="435"/>
      <c r="W55" s="435"/>
      <c r="X55" s="435"/>
      <c r="Y55" s="435"/>
      <c r="Z55" s="435"/>
      <c r="AA55" s="435"/>
      <c r="AB55" s="436"/>
      <c r="AF55" s="435"/>
      <c r="AG55" s="437"/>
      <c r="AH55" s="329"/>
      <c r="AI55" s="438"/>
      <c r="AJ55" s="439"/>
      <c r="AK55" s="439"/>
      <c r="AL55" s="329"/>
      <c r="AM55" s="329"/>
      <c r="AN55" s="329"/>
      <c r="AO55" s="329"/>
      <c r="AP55" s="329"/>
      <c r="AQ55" s="329"/>
    </row>
    <row r="56" spans="1:44" x14ac:dyDescent="0.2">
      <c r="K56" s="326"/>
      <c r="L56" s="326"/>
      <c r="S56" s="435"/>
      <c r="T56" s="435"/>
      <c r="U56" s="435"/>
      <c r="V56" s="435"/>
      <c r="W56" s="435"/>
      <c r="X56" s="435"/>
      <c r="Y56" s="435"/>
      <c r="Z56" s="435"/>
      <c r="AA56" s="435"/>
      <c r="AB56" s="436"/>
      <c r="AF56" s="435"/>
      <c r="AG56" s="437"/>
      <c r="AH56" s="329"/>
      <c r="AI56" s="438"/>
      <c r="AJ56" s="439"/>
      <c r="AK56" s="439"/>
      <c r="AL56" s="329"/>
      <c r="AM56" s="329"/>
      <c r="AN56" s="329"/>
      <c r="AO56" s="329"/>
      <c r="AP56" s="329"/>
      <c r="AQ56" s="329"/>
    </row>
    <row r="57" spans="1:44" x14ac:dyDescent="0.2">
      <c r="K57" s="326"/>
      <c r="L57" s="326"/>
      <c r="S57" s="435"/>
      <c r="T57" s="435"/>
      <c r="U57" s="435"/>
      <c r="V57" s="435"/>
      <c r="W57" s="435"/>
      <c r="X57" s="435"/>
      <c r="Y57" s="435"/>
      <c r="Z57" s="435"/>
      <c r="AA57" s="435"/>
      <c r="AB57" s="436"/>
      <c r="AF57" s="435"/>
      <c r="AG57" s="437"/>
      <c r="AH57" s="329"/>
      <c r="AI57" s="438"/>
      <c r="AJ57" s="439"/>
      <c r="AK57" s="439"/>
      <c r="AL57" s="329"/>
      <c r="AM57" s="329"/>
      <c r="AN57" s="329"/>
      <c r="AO57" s="329"/>
      <c r="AP57" s="329"/>
      <c r="AQ57" s="329"/>
    </row>
    <row r="58" spans="1:44" ht="15" x14ac:dyDescent="0.25">
      <c r="C58" s="440"/>
      <c r="D58" s="440"/>
      <c r="E58" s="440"/>
      <c r="F58" s="440"/>
      <c r="G58" s="440"/>
      <c r="H58" s="441"/>
      <c r="I58" s="442">
        <f>SUM(I14:I53)</f>
        <v>323</v>
      </c>
      <c r="J58" s="443">
        <f>AVERAGEIF(J15:J53,"&lt;&gt;0")</f>
        <v>0.65236363636363637</v>
      </c>
      <c r="K58" s="444">
        <f>SUM(K14:K53)</f>
        <v>288000</v>
      </c>
      <c r="L58" s="444">
        <f>SUM(L14:L57)</f>
        <v>180457.1</v>
      </c>
      <c r="M58" s="143"/>
      <c r="N58" s="143">
        <f t="shared" ref="N58:T58" si="24">SUM(N14:N57)</f>
        <v>225</v>
      </c>
      <c r="O58" s="143">
        <f t="shared" si="24"/>
        <v>4796</v>
      </c>
      <c r="P58" s="143">
        <f t="shared" si="24"/>
        <v>25752</v>
      </c>
      <c r="Q58" s="445">
        <f t="shared" si="24"/>
        <v>799023.77279999992</v>
      </c>
      <c r="R58" s="445">
        <f t="shared" si="24"/>
        <v>155552</v>
      </c>
      <c r="S58" s="445">
        <f t="shared" si="24"/>
        <v>28823.959999999995</v>
      </c>
      <c r="T58" s="445">
        <f t="shared" si="24"/>
        <v>216703.07999999996</v>
      </c>
      <c r="U58" s="445"/>
      <c r="V58" s="445">
        <f t="shared" ref="V58:AB58" si="25">SUM(V14:V57)</f>
        <v>1909.0909090909095</v>
      </c>
      <c r="W58" s="445">
        <f t="shared" si="25"/>
        <v>656.67272727272734</v>
      </c>
      <c r="X58" s="445">
        <f t="shared" si="25"/>
        <v>2626.6909090909094</v>
      </c>
      <c r="Y58" s="445">
        <f t="shared" si="25"/>
        <v>7893.2061818181837</v>
      </c>
      <c r="Z58" s="445">
        <f t="shared" si="25"/>
        <v>44207.208000000006</v>
      </c>
      <c r="AA58" s="445">
        <f t="shared" si="25"/>
        <v>52100.414181818182</v>
      </c>
      <c r="AB58" s="446">
        <f t="shared" si="25"/>
        <v>1254112.3178909093</v>
      </c>
      <c r="AC58" s="447"/>
      <c r="AD58" s="447"/>
      <c r="AE58" s="447"/>
      <c r="AF58" s="448"/>
      <c r="AG58" s="448"/>
      <c r="AH58" s="449">
        <f>SUM(AH14:AH57)</f>
        <v>2865853.5599999996</v>
      </c>
      <c r="AI58" s="450">
        <f>SUM(AI14:AI53)</f>
        <v>2.0000000000000009</v>
      </c>
      <c r="AJ58" s="448">
        <f t="shared" ref="AJ58:AR58" si="26">SUM(AJ14:AJ57)</f>
        <v>915.60000000000014</v>
      </c>
      <c r="AK58" s="448">
        <f t="shared" si="26"/>
        <v>7860.2000000000016</v>
      </c>
      <c r="AL58" s="449">
        <f t="shared" si="26"/>
        <v>143292.67800000001</v>
      </c>
      <c r="AM58" s="449">
        <f t="shared" si="26"/>
        <v>11005.511999999999</v>
      </c>
      <c r="AN58" s="449">
        <f t="shared" si="26"/>
        <v>132287.166</v>
      </c>
      <c r="AO58" s="451">
        <f t="shared" si="26"/>
        <v>4119965.8778909086</v>
      </c>
      <c r="AP58" s="452">
        <f t="shared" si="26"/>
        <v>3651508.7778909085</v>
      </c>
      <c r="AQ58" s="453">
        <f t="shared" si="26"/>
        <v>1397404.9958909089</v>
      </c>
      <c r="AR58" s="453">
        <f t="shared" si="26"/>
        <v>928947.89589090878</v>
      </c>
    </row>
    <row r="59" spans="1:44" x14ac:dyDescent="0.2">
      <c r="J59" s="454"/>
      <c r="K59" s="326"/>
      <c r="L59" s="326"/>
      <c r="AH59" s="328"/>
      <c r="AI59" s="328"/>
      <c r="AJ59" s="328"/>
      <c r="AK59" s="328"/>
      <c r="AL59" s="329"/>
      <c r="AM59" s="329"/>
      <c r="AN59" s="329"/>
      <c r="AO59" s="329"/>
      <c r="AP59" s="330"/>
    </row>
    <row r="60" spans="1:44" x14ac:dyDescent="0.2">
      <c r="L60" s="326"/>
      <c r="AH60" s="328"/>
      <c r="AI60" s="328"/>
      <c r="AJ60" s="328"/>
      <c r="AK60" s="328"/>
      <c r="AL60" s="329"/>
      <c r="AM60" s="329"/>
      <c r="AN60" s="329"/>
      <c r="AO60" s="329"/>
      <c r="AP60" s="330"/>
    </row>
    <row r="61" spans="1:44" ht="15" x14ac:dyDescent="0.25">
      <c r="F61" s="330"/>
      <c r="G61" s="455" t="s">
        <v>515</v>
      </c>
      <c r="H61" s="456"/>
      <c r="I61" s="455"/>
      <c r="J61" s="455"/>
      <c r="K61" s="315">
        <f>I58</f>
        <v>323</v>
      </c>
      <c r="L61" s="436"/>
      <c r="O61" s="457" t="s">
        <v>417</v>
      </c>
      <c r="P61" s="457"/>
      <c r="Q61" s="457"/>
      <c r="R61" s="458">
        <f>Q58+R58+V58+AA58</f>
        <v>1008585.277890909</v>
      </c>
      <c r="AF61" s="447" t="s">
        <v>418</v>
      </c>
      <c r="AG61" s="447"/>
      <c r="AH61" s="449">
        <f>AH58</f>
        <v>2865853.5599999996</v>
      </c>
      <c r="AI61" s="449"/>
      <c r="AJ61" s="449"/>
      <c r="AK61" s="449"/>
      <c r="AL61" s="449">
        <f>SUM(AL14:AL57)</f>
        <v>143292.67800000001</v>
      </c>
      <c r="AM61" s="449"/>
      <c r="AN61" s="449"/>
      <c r="AO61" s="329"/>
      <c r="AP61" s="330"/>
    </row>
    <row r="62" spans="1:44" ht="15" x14ac:dyDescent="0.25">
      <c r="F62" s="330"/>
      <c r="G62" s="455" t="s">
        <v>516</v>
      </c>
      <c r="H62" s="456"/>
      <c r="I62" s="455"/>
      <c r="J62" s="455"/>
      <c r="K62" s="444">
        <f>K58+L58</f>
        <v>468457.1</v>
      </c>
      <c r="L62" s="329"/>
      <c r="O62" s="457" t="s">
        <v>420</v>
      </c>
      <c r="P62" s="457"/>
      <c r="Q62" s="457"/>
      <c r="R62" s="188">
        <f>R61/N58</f>
        <v>4482.6012350707069</v>
      </c>
      <c r="AB62" s="435"/>
      <c r="AF62" s="447" t="s">
        <v>421</v>
      </c>
      <c r="AG62" s="447"/>
      <c r="AH62" s="189">
        <f>AH61/I58</f>
        <v>8872.6116408668713</v>
      </c>
      <c r="AI62" s="449"/>
      <c r="AJ62" s="449"/>
      <c r="AK62" s="449"/>
      <c r="AL62" s="189">
        <f>AL61/I58</f>
        <v>443.63058204334368</v>
      </c>
      <c r="AM62" s="189"/>
      <c r="AN62" s="189"/>
      <c r="AO62" s="329"/>
      <c r="AP62" s="330"/>
    </row>
    <row r="63" spans="1:44" ht="15" x14ac:dyDescent="0.25">
      <c r="F63" s="330"/>
      <c r="G63" s="455" t="s">
        <v>517</v>
      </c>
      <c r="H63" s="456"/>
      <c r="I63" s="455"/>
      <c r="J63" s="455"/>
      <c r="K63" s="444">
        <f>K62/K61</f>
        <v>1450.3315789473684</v>
      </c>
      <c r="L63" s="316"/>
      <c r="AH63" s="328"/>
      <c r="AI63" s="328"/>
      <c r="AJ63" s="328"/>
      <c r="AK63" s="328"/>
      <c r="AL63" s="329"/>
      <c r="AM63" s="329"/>
      <c r="AN63" s="329"/>
      <c r="AO63" s="329"/>
      <c r="AP63" s="330"/>
    </row>
    <row r="64" spans="1:44" x14ac:dyDescent="0.2">
      <c r="L64" s="326"/>
      <c r="O64" s="457" t="s">
        <v>423</v>
      </c>
      <c r="P64" s="457"/>
      <c r="Q64" s="457"/>
      <c r="R64" s="458">
        <f>S58+T58+AA58</f>
        <v>297627.45418181812</v>
      </c>
      <c r="U64" s="459"/>
      <c r="V64" s="460"/>
      <c r="W64" s="460"/>
      <c r="AH64" s="328"/>
      <c r="AI64" s="328"/>
      <c r="AJ64" s="328"/>
      <c r="AK64" s="328"/>
      <c r="AL64" s="329"/>
      <c r="AM64" s="329"/>
      <c r="AN64" s="329"/>
      <c r="AO64" s="329"/>
      <c r="AP64" s="330"/>
    </row>
    <row r="65" spans="3:42" ht="15" x14ac:dyDescent="0.25">
      <c r="G65" s="455" t="s">
        <v>518</v>
      </c>
      <c r="H65" s="456"/>
      <c r="I65" s="455"/>
      <c r="J65" s="455"/>
      <c r="K65" s="442">
        <v>230</v>
      </c>
      <c r="L65" s="326"/>
      <c r="O65" s="457" t="s">
        <v>421</v>
      </c>
      <c r="P65" s="457"/>
      <c r="Q65" s="457"/>
      <c r="R65" s="188">
        <f>R64/N58</f>
        <v>1322.7886852525251</v>
      </c>
      <c r="U65" s="193"/>
      <c r="V65" s="460"/>
      <c r="W65" s="460"/>
      <c r="AF65" s="330"/>
      <c r="AG65" s="330"/>
      <c r="AH65" s="461"/>
      <c r="AI65" s="328"/>
      <c r="AJ65" s="328"/>
      <c r="AK65" s="328"/>
      <c r="AL65" s="329"/>
      <c r="AM65" s="329"/>
      <c r="AN65" s="329"/>
      <c r="AO65" s="329"/>
      <c r="AP65" s="330"/>
    </row>
    <row r="66" spans="3:42" ht="15" x14ac:dyDescent="0.25">
      <c r="G66" s="455" t="s">
        <v>519</v>
      </c>
      <c r="H66" s="456"/>
      <c r="I66" s="455"/>
      <c r="J66" s="455"/>
      <c r="K66" s="462">
        <f>J58</f>
        <v>0.65236363636363637</v>
      </c>
      <c r="L66" s="326"/>
      <c r="AF66" s="330"/>
      <c r="AG66" s="330"/>
      <c r="AH66" s="461"/>
      <c r="AI66" s="328"/>
      <c r="AJ66" s="328"/>
      <c r="AK66" s="328"/>
      <c r="AL66" s="329"/>
      <c r="AM66" s="329"/>
      <c r="AN66" s="329"/>
      <c r="AO66" s="329"/>
      <c r="AP66" s="330"/>
    </row>
    <row r="67" spans="3:42" x14ac:dyDescent="0.2">
      <c r="K67" s="326"/>
      <c r="L67" s="326"/>
      <c r="AF67" s="330"/>
      <c r="AG67" s="330"/>
      <c r="AH67" s="329"/>
      <c r="AI67" s="328"/>
      <c r="AJ67" s="328"/>
      <c r="AK67" s="328"/>
      <c r="AL67" s="329"/>
      <c r="AM67" s="329"/>
      <c r="AN67" s="329"/>
      <c r="AO67" s="329"/>
      <c r="AP67" s="330"/>
    </row>
    <row r="68" spans="3:42" x14ac:dyDescent="0.2">
      <c r="X68" s="330"/>
      <c r="Y68" s="330"/>
      <c r="Z68" s="330"/>
      <c r="AA68" s="461"/>
      <c r="AF68" s="330"/>
      <c r="AG68" s="330"/>
      <c r="AH68" s="329"/>
    </row>
    <row r="69" spans="3:42" x14ac:dyDescent="0.2">
      <c r="D69" s="365"/>
      <c r="E69" s="365"/>
      <c r="F69" s="463"/>
      <c r="X69" s="330"/>
      <c r="Y69" s="330"/>
      <c r="Z69" s="330"/>
      <c r="AA69" s="461"/>
      <c r="AF69" s="330"/>
      <c r="AG69" s="330"/>
      <c r="AH69" s="329"/>
    </row>
    <row r="70" spans="3:42" ht="15" thickBot="1" x14ac:dyDescent="0.25">
      <c r="D70" s="365"/>
      <c r="E70" s="365"/>
      <c r="F70" s="365"/>
      <c r="X70" s="330"/>
      <c r="Y70" s="330"/>
      <c r="Z70" s="330"/>
      <c r="AA70" s="330"/>
    </row>
    <row r="71" spans="3:42" ht="15" x14ac:dyDescent="0.25">
      <c r="C71" s="202" t="s">
        <v>583</v>
      </c>
      <c r="D71" s="203"/>
      <c r="E71" s="208">
        <v>302453.81119999994</v>
      </c>
      <c r="F71"/>
      <c r="X71" s="330"/>
      <c r="Y71" s="330"/>
      <c r="Z71" s="330"/>
      <c r="AA71" s="464"/>
    </row>
    <row r="72" spans="3:42" ht="15" x14ac:dyDescent="0.25">
      <c r="C72" s="204" t="s">
        <v>444</v>
      </c>
      <c r="D72" s="129"/>
      <c r="E72" s="205">
        <v>2.6761400000000002</v>
      </c>
      <c r="F72"/>
      <c r="U72" s="465"/>
      <c r="X72" s="330"/>
      <c r="Y72" s="330"/>
      <c r="Z72" s="330"/>
      <c r="AA72" s="329"/>
    </row>
    <row r="73" spans="3:42" ht="15" x14ac:dyDescent="0.25">
      <c r="C73" s="204" t="s">
        <v>584</v>
      </c>
      <c r="D73" s="129"/>
      <c r="E73" s="209">
        <v>809408.74230476795</v>
      </c>
      <c r="F73"/>
      <c r="X73" s="330"/>
      <c r="Y73" s="330"/>
      <c r="Z73" s="330"/>
      <c r="AA73" s="329"/>
    </row>
    <row r="74" spans="3:42" ht="15.75" thickBot="1" x14ac:dyDescent="0.3">
      <c r="C74" s="206" t="s">
        <v>585</v>
      </c>
      <c r="D74" s="207"/>
      <c r="E74" s="471">
        <v>809.408742304768</v>
      </c>
      <c r="F74"/>
      <c r="X74" s="330"/>
      <c r="Y74" s="330"/>
      <c r="Z74" s="330"/>
      <c r="AA74" s="466"/>
    </row>
    <row r="75" spans="3:42" ht="15" x14ac:dyDescent="0.25">
      <c r="C75"/>
      <c r="D75"/>
      <c r="E75"/>
      <c r="F75"/>
    </row>
    <row r="76" spans="3:42" ht="15" x14ac:dyDescent="0.25">
      <c r="C76"/>
      <c r="D76"/>
      <c r="E76"/>
      <c r="F76"/>
    </row>
    <row r="77" spans="3:42" ht="15" x14ac:dyDescent="0.25">
      <c r="C77"/>
      <c r="D77"/>
      <c r="E77"/>
      <c r="F77"/>
    </row>
    <row r="78" spans="3:42" ht="15" x14ac:dyDescent="0.25">
      <c r="C78"/>
      <c r="D78"/>
      <c r="E78"/>
      <c r="F78"/>
    </row>
    <row r="79" spans="3:42" ht="15" x14ac:dyDescent="0.25">
      <c r="C79"/>
      <c r="D79"/>
      <c r="E79"/>
      <c r="F79"/>
      <c r="G79" s="467"/>
    </row>
    <row r="80" spans="3:42" ht="15" x14ac:dyDescent="0.25">
      <c r="C80"/>
      <c r="D80"/>
      <c r="E80"/>
      <c r="F80" t="s">
        <v>446</v>
      </c>
      <c r="G80" s="467"/>
    </row>
    <row r="81" spans="3:7" s="323" customFormat="1" ht="15" x14ac:dyDescent="0.25">
      <c r="C81" t="s">
        <v>441</v>
      </c>
      <c r="D81"/>
      <c r="E81" s="201">
        <f>Q58+R58+V58</f>
        <v>956484.86370909086</v>
      </c>
      <c r="F81" s="201">
        <f>E81/1000000</f>
        <v>0.9564848637090908</v>
      </c>
      <c r="G81" s="467"/>
    </row>
    <row r="82" spans="3:7" s="323" customFormat="1" ht="15.75" x14ac:dyDescent="0.3">
      <c r="C82" s="9" t="s">
        <v>295</v>
      </c>
      <c r="D82"/>
      <c r="E82" s="201">
        <f>S58+Y58+AM58</f>
        <v>47722.678181818177</v>
      </c>
      <c r="F82" s="201">
        <f>E82/1000000</f>
        <v>4.7722678181818176E-2</v>
      </c>
      <c r="G82" s="435"/>
    </row>
    <row r="83" spans="3:7" s="323" customFormat="1" ht="15.75" x14ac:dyDescent="0.3">
      <c r="C83" s="9" t="s">
        <v>296</v>
      </c>
      <c r="D83"/>
      <c r="E83" s="201">
        <f>T58+Z58+AN58</f>
        <v>393197.45399999997</v>
      </c>
      <c r="F83" s="201">
        <f>E83/1000000</f>
        <v>0.39319745399999995</v>
      </c>
      <c r="G83" s="435"/>
    </row>
    <row r="84" spans="3:7" s="323" customFormat="1" ht="15.75" x14ac:dyDescent="0.3">
      <c r="C84" s="4" t="s">
        <v>211</v>
      </c>
      <c r="D84"/>
      <c r="E84" s="168">
        <f>O58+W58+AJ58</f>
        <v>6368.2727272727279</v>
      </c>
      <c r="F84" s="168">
        <f>E84</f>
        <v>6368.2727272727279</v>
      </c>
      <c r="G84" s="469"/>
    </row>
    <row r="85" spans="3:7" ht="15.75" x14ac:dyDescent="0.3">
      <c r="C85" s="4" t="s">
        <v>212</v>
      </c>
      <c r="D85"/>
      <c r="E85" s="168">
        <f>P58+X58+AK58</f>
        <v>36238.890909090915</v>
      </c>
      <c r="F85" s="168">
        <f>E85*60</f>
        <v>2174333.4545454551</v>
      </c>
    </row>
    <row r="86" spans="3:7" ht="16.5" x14ac:dyDescent="0.3">
      <c r="C86" s="4" t="s">
        <v>325</v>
      </c>
      <c r="D86"/>
      <c r="E86" s="167">
        <f>E74</f>
        <v>809.408742304768</v>
      </c>
      <c r="F86" s="167">
        <f>E86</f>
        <v>809.408742304768</v>
      </c>
    </row>
  </sheetData>
  <mergeCells count="4">
    <mergeCell ref="AC8:AL8"/>
    <mergeCell ref="B12:L12"/>
    <mergeCell ref="M12:AB12"/>
    <mergeCell ref="AC12:AL1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'[2]Ready Reckoner &amp; Data'!#REF!</xm:f>
          </x14:formula1>
          <xm:sqref>B14:B53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0" zoomScaleNormal="90" zoomScaleSheetLayoutView="80" workbookViewId="0">
      <pane xSplit="2" ySplit="12" topLeftCell="C84" activePane="bottomRight" state="frozen"/>
      <selection activeCell="B5" sqref="B5:F5"/>
      <selection pane="topRight" activeCell="B5" sqref="B5:F5"/>
      <selection pane="bottomLeft" activeCell="B5" sqref="B5:F5"/>
      <selection pane="bottomRight" activeCell="G90" sqref="G90"/>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6" width="11" style="4" customWidth="1"/>
    <col min="7" max="7" width="10.85546875" style="4" bestFit="1"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341</v>
      </c>
      <c r="C1" s="3" t="s">
        <v>342</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T2" s="55"/>
      <c r="U2" s="322"/>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-3.3654953360435229</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-3.6786248217466206</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-3.8869548222738848</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-4.0991850133521401</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518" t="s">
        <v>11</v>
      </c>
      <c r="B13" s="61" t="s">
        <v>174</v>
      </c>
      <c r="C13" s="60"/>
      <c r="D13" s="61" t="s">
        <v>39</v>
      </c>
      <c r="E13" s="62">
        <f>-'Workings baseline 2015.16'!E58</f>
        <v>-0.71576911931550802</v>
      </c>
      <c r="F13" s="62">
        <f>-'Workings baseline 2016.17'!F79</f>
        <v>-0.75595365755844168</v>
      </c>
      <c r="G13" s="62">
        <f>-'Workings baseline 2017.18'!F81</f>
        <v>-0.9564848637090908</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519"/>
      <c r="B14" s="61" t="s">
        <v>195</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519"/>
      <c r="B15" s="61" t="s">
        <v>195</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519"/>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519"/>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520"/>
      <c r="B18" s="123" t="s">
        <v>194</v>
      </c>
      <c r="C18" s="128"/>
      <c r="D18" s="124" t="s">
        <v>39</v>
      </c>
      <c r="E18" s="59">
        <f>SUM(E13:E17)</f>
        <v>-0.71576911931550802</v>
      </c>
      <c r="F18" s="59">
        <f t="shared" ref="F18:AW18" si="0">SUM(F13:F17)</f>
        <v>-0.75595365755844168</v>
      </c>
      <c r="G18" s="59">
        <f t="shared" si="0"/>
        <v>-0.9564848637090908</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521" t="s">
        <v>298</v>
      </c>
      <c r="B19" s="61" t="s">
        <v>195</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521"/>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521"/>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521"/>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521"/>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521"/>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522"/>
      <c r="B25" s="61" t="s">
        <v>314</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39</v>
      </c>
      <c r="E26" s="59">
        <f>E18+E25</f>
        <v>-0.71576911931550802</v>
      </c>
      <c r="F26" s="59">
        <f t="shared" ref="F26:BD26" si="2">F18+F25</f>
        <v>-0.75595365755844168</v>
      </c>
      <c r="G26" s="59">
        <f t="shared" si="2"/>
        <v>-0.9564848637090908</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-0.50103838352085561</v>
      </c>
      <c r="F28" s="35">
        <f t="shared" ref="F28:AW28" si="3">F26*F27</f>
        <v>-0.52916756029090917</v>
      </c>
      <c r="G28" s="35">
        <f t="shared" si="3"/>
        <v>-0.66953940459636352</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43</v>
      </c>
      <c r="D29" s="9" t="s">
        <v>39</v>
      </c>
      <c r="E29" s="35">
        <f>E26-E28</f>
        <v>-0.21473073579465241</v>
      </c>
      <c r="F29" s="35">
        <f t="shared" ref="F29:AW29" si="4">F26-F28</f>
        <v>-0.22678609726753252</v>
      </c>
      <c r="G29" s="35">
        <f t="shared" si="4"/>
        <v>-0.28694545911272729</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-1.1134186300463459E-2</v>
      </c>
      <c r="G30" s="35">
        <f>$E$28/'Fixed data'!$C$7</f>
        <v>-1.1134186300463459E-2</v>
      </c>
      <c r="H30" s="35">
        <f>$E$28/'Fixed data'!$C$7</f>
        <v>-1.1134186300463459E-2</v>
      </c>
      <c r="I30" s="35">
        <f>$E$28/'Fixed data'!$C$7</f>
        <v>-1.1134186300463459E-2</v>
      </c>
      <c r="J30" s="35">
        <f>$E$28/'Fixed data'!$C$7</f>
        <v>-1.1134186300463459E-2</v>
      </c>
      <c r="K30" s="35">
        <f>$E$28/'Fixed data'!$C$7</f>
        <v>-1.1134186300463459E-2</v>
      </c>
      <c r="L30" s="35">
        <f>$E$28/'Fixed data'!$C$7</f>
        <v>-1.1134186300463459E-2</v>
      </c>
      <c r="M30" s="35">
        <f>$E$28/'Fixed data'!$C$7</f>
        <v>-1.1134186300463459E-2</v>
      </c>
      <c r="N30" s="35">
        <f>$E$28/'Fixed data'!$C$7</f>
        <v>-1.1134186300463459E-2</v>
      </c>
      <c r="O30" s="35">
        <f>$E$28/'Fixed data'!$C$7</f>
        <v>-1.1134186300463459E-2</v>
      </c>
      <c r="P30" s="35">
        <f>$E$28/'Fixed data'!$C$7</f>
        <v>-1.1134186300463459E-2</v>
      </c>
      <c r="Q30" s="35">
        <f>$E$28/'Fixed data'!$C$7</f>
        <v>-1.1134186300463459E-2</v>
      </c>
      <c r="R30" s="35">
        <f>$E$28/'Fixed data'!$C$7</f>
        <v>-1.1134186300463459E-2</v>
      </c>
      <c r="S30" s="35">
        <f>$E$28/'Fixed data'!$C$7</f>
        <v>-1.1134186300463459E-2</v>
      </c>
      <c r="T30" s="35">
        <f>$E$28/'Fixed data'!$C$7</f>
        <v>-1.1134186300463459E-2</v>
      </c>
      <c r="U30" s="35">
        <f>$E$28/'Fixed data'!$C$7</f>
        <v>-1.1134186300463459E-2</v>
      </c>
      <c r="V30" s="35">
        <f>$E$28/'Fixed data'!$C$7</f>
        <v>-1.1134186300463459E-2</v>
      </c>
      <c r="W30" s="35">
        <f>$E$28/'Fixed data'!$C$7</f>
        <v>-1.1134186300463459E-2</v>
      </c>
      <c r="X30" s="35">
        <f>$E$28/'Fixed data'!$C$7</f>
        <v>-1.1134186300463459E-2</v>
      </c>
      <c r="Y30" s="35">
        <f>$E$28/'Fixed data'!$C$7</f>
        <v>-1.1134186300463459E-2</v>
      </c>
      <c r="Z30" s="35">
        <f>$E$28/'Fixed data'!$C$7</f>
        <v>-1.1134186300463459E-2</v>
      </c>
      <c r="AA30" s="35">
        <f>$E$28/'Fixed data'!$C$7</f>
        <v>-1.1134186300463459E-2</v>
      </c>
      <c r="AB30" s="35">
        <f>$E$28/'Fixed data'!$C$7</f>
        <v>-1.1134186300463459E-2</v>
      </c>
      <c r="AC30" s="35">
        <f>$E$28/'Fixed data'!$C$7</f>
        <v>-1.1134186300463459E-2</v>
      </c>
      <c r="AD30" s="35">
        <f>$E$28/'Fixed data'!$C$7</f>
        <v>-1.1134186300463459E-2</v>
      </c>
      <c r="AE30" s="35">
        <f>$E$28/'Fixed data'!$C$7</f>
        <v>-1.1134186300463459E-2</v>
      </c>
      <c r="AF30" s="35">
        <f>$E$28/'Fixed data'!$C$7</f>
        <v>-1.1134186300463459E-2</v>
      </c>
      <c r="AG30" s="35">
        <f>$E$28/'Fixed data'!$C$7</f>
        <v>-1.1134186300463459E-2</v>
      </c>
      <c r="AH30" s="35">
        <f>$E$28/'Fixed data'!$C$7</f>
        <v>-1.1134186300463459E-2</v>
      </c>
      <c r="AI30" s="35">
        <f>$E$28/'Fixed data'!$C$7</f>
        <v>-1.1134186300463459E-2</v>
      </c>
      <c r="AJ30" s="35">
        <f>$E$28/'Fixed data'!$C$7</f>
        <v>-1.1134186300463459E-2</v>
      </c>
      <c r="AK30" s="35">
        <f>$E$28/'Fixed data'!$C$7</f>
        <v>-1.1134186300463459E-2</v>
      </c>
      <c r="AL30" s="35">
        <f>$E$28/'Fixed data'!$C$7</f>
        <v>-1.1134186300463459E-2</v>
      </c>
      <c r="AM30" s="35">
        <f>$E$28/'Fixed data'!$C$7</f>
        <v>-1.1134186300463459E-2</v>
      </c>
      <c r="AN30" s="35">
        <f>$E$28/'Fixed data'!$C$7</f>
        <v>-1.1134186300463459E-2</v>
      </c>
      <c r="AO30" s="35">
        <f>$E$28/'Fixed data'!$C$7</f>
        <v>-1.1134186300463459E-2</v>
      </c>
      <c r="AP30" s="35">
        <f>$E$28/'Fixed data'!$C$7</f>
        <v>-1.1134186300463459E-2</v>
      </c>
      <c r="AQ30" s="35">
        <f>$E$28/'Fixed data'!$C$7</f>
        <v>-1.1134186300463459E-2</v>
      </c>
      <c r="AR30" s="35">
        <f>$E$28/'Fixed data'!$C$7</f>
        <v>-1.1134186300463459E-2</v>
      </c>
      <c r="AS30" s="35">
        <f>$E$28/'Fixed data'!$C$7</f>
        <v>-1.1134186300463459E-2</v>
      </c>
      <c r="AT30" s="35">
        <f>$E$28/'Fixed data'!$C$7</f>
        <v>-1.1134186300463459E-2</v>
      </c>
      <c r="AU30" s="35">
        <f>$E$28/'Fixed data'!$C$7</f>
        <v>-1.1134186300463459E-2</v>
      </c>
      <c r="AV30" s="35">
        <f>$E$28/'Fixed data'!$C$7</f>
        <v>-1.1134186300463459E-2</v>
      </c>
      <c r="AW30" s="35">
        <f>$E$28/'Fixed data'!$C$7</f>
        <v>-1.1134186300463459E-2</v>
      </c>
      <c r="AX30" s="35">
        <f>$E$28/'Fixed data'!$C$7</f>
        <v>-1.1134186300463459E-2</v>
      </c>
      <c r="AY30" s="35"/>
      <c r="AZ30" s="35"/>
      <c r="BA30" s="35"/>
      <c r="BB30" s="35"/>
      <c r="BC30" s="35"/>
      <c r="BD30" s="35"/>
    </row>
    <row r="31" spans="1:56" ht="16.5" hidden="1" customHeight="1" outlineLevel="1" x14ac:dyDescent="0.35">
      <c r="A31" s="114"/>
      <c r="B31" s="9" t="s">
        <v>2</v>
      </c>
      <c r="C31" s="11" t="s">
        <v>52</v>
      </c>
      <c r="D31" s="9" t="s">
        <v>39</v>
      </c>
      <c r="F31" s="35"/>
      <c r="G31" s="35">
        <f>$F$28/'Fixed data'!$C$7</f>
        <v>-1.1759279117575759E-2</v>
      </c>
      <c r="H31" s="35">
        <f>$F$28/'Fixed data'!$C$7</f>
        <v>-1.1759279117575759E-2</v>
      </c>
      <c r="I31" s="35">
        <f>$F$28/'Fixed data'!$C$7</f>
        <v>-1.1759279117575759E-2</v>
      </c>
      <c r="J31" s="35">
        <f>$F$28/'Fixed data'!$C$7</f>
        <v>-1.1759279117575759E-2</v>
      </c>
      <c r="K31" s="35">
        <f>$F$28/'Fixed data'!$C$7</f>
        <v>-1.1759279117575759E-2</v>
      </c>
      <c r="L31" s="35">
        <f>$F$28/'Fixed data'!$C$7</f>
        <v>-1.1759279117575759E-2</v>
      </c>
      <c r="M31" s="35">
        <f>$F$28/'Fixed data'!$C$7</f>
        <v>-1.1759279117575759E-2</v>
      </c>
      <c r="N31" s="35">
        <f>$F$28/'Fixed data'!$C$7</f>
        <v>-1.1759279117575759E-2</v>
      </c>
      <c r="O31" s="35">
        <f>$F$28/'Fixed data'!$C$7</f>
        <v>-1.1759279117575759E-2</v>
      </c>
      <c r="P31" s="35">
        <f>$F$28/'Fixed data'!$C$7</f>
        <v>-1.1759279117575759E-2</v>
      </c>
      <c r="Q31" s="35">
        <f>$F$28/'Fixed data'!$C$7</f>
        <v>-1.1759279117575759E-2</v>
      </c>
      <c r="R31" s="35">
        <f>$F$28/'Fixed data'!$C$7</f>
        <v>-1.1759279117575759E-2</v>
      </c>
      <c r="S31" s="35">
        <f>$F$28/'Fixed data'!$C$7</f>
        <v>-1.1759279117575759E-2</v>
      </c>
      <c r="T31" s="35">
        <f>$F$28/'Fixed data'!$C$7</f>
        <v>-1.1759279117575759E-2</v>
      </c>
      <c r="U31" s="35">
        <f>$F$28/'Fixed data'!$C$7</f>
        <v>-1.1759279117575759E-2</v>
      </c>
      <c r="V31" s="35">
        <f>$F$28/'Fixed data'!$C$7</f>
        <v>-1.1759279117575759E-2</v>
      </c>
      <c r="W31" s="35">
        <f>$F$28/'Fixed data'!$C$7</f>
        <v>-1.1759279117575759E-2</v>
      </c>
      <c r="X31" s="35">
        <f>$F$28/'Fixed data'!$C$7</f>
        <v>-1.1759279117575759E-2</v>
      </c>
      <c r="Y31" s="35">
        <f>$F$28/'Fixed data'!$C$7</f>
        <v>-1.1759279117575759E-2</v>
      </c>
      <c r="Z31" s="35">
        <f>$F$28/'Fixed data'!$C$7</f>
        <v>-1.1759279117575759E-2</v>
      </c>
      <c r="AA31" s="35">
        <f>$F$28/'Fixed data'!$C$7</f>
        <v>-1.1759279117575759E-2</v>
      </c>
      <c r="AB31" s="35">
        <f>$F$28/'Fixed data'!$C$7</f>
        <v>-1.1759279117575759E-2</v>
      </c>
      <c r="AC31" s="35">
        <f>$F$28/'Fixed data'!$C$7</f>
        <v>-1.1759279117575759E-2</v>
      </c>
      <c r="AD31" s="35">
        <f>$F$28/'Fixed data'!$C$7</f>
        <v>-1.1759279117575759E-2</v>
      </c>
      <c r="AE31" s="35">
        <f>$F$28/'Fixed data'!$C$7</f>
        <v>-1.1759279117575759E-2</v>
      </c>
      <c r="AF31" s="35">
        <f>$F$28/'Fixed data'!$C$7</f>
        <v>-1.1759279117575759E-2</v>
      </c>
      <c r="AG31" s="35">
        <f>$F$28/'Fixed data'!$C$7</f>
        <v>-1.1759279117575759E-2</v>
      </c>
      <c r="AH31" s="35">
        <f>$F$28/'Fixed data'!$C$7</f>
        <v>-1.1759279117575759E-2</v>
      </c>
      <c r="AI31" s="35">
        <f>$F$28/'Fixed data'!$C$7</f>
        <v>-1.1759279117575759E-2</v>
      </c>
      <c r="AJ31" s="35">
        <f>$F$28/'Fixed data'!$C$7</f>
        <v>-1.1759279117575759E-2</v>
      </c>
      <c r="AK31" s="35">
        <f>$F$28/'Fixed data'!$C$7</f>
        <v>-1.1759279117575759E-2</v>
      </c>
      <c r="AL31" s="35">
        <f>$F$28/'Fixed data'!$C$7</f>
        <v>-1.1759279117575759E-2</v>
      </c>
      <c r="AM31" s="35">
        <f>$F$28/'Fixed data'!$C$7</f>
        <v>-1.1759279117575759E-2</v>
      </c>
      <c r="AN31" s="35">
        <f>$F$28/'Fixed data'!$C$7</f>
        <v>-1.1759279117575759E-2</v>
      </c>
      <c r="AO31" s="35">
        <f>$F$28/'Fixed data'!$C$7</f>
        <v>-1.1759279117575759E-2</v>
      </c>
      <c r="AP31" s="35">
        <f>$F$28/'Fixed data'!$C$7</f>
        <v>-1.1759279117575759E-2</v>
      </c>
      <c r="AQ31" s="35">
        <f>$F$28/'Fixed data'!$C$7</f>
        <v>-1.1759279117575759E-2</v>
      </c>
      <c r="AR31" s="35">
        <f>$F$28/'Fixed data'!$C$7</f>
        <v>-1.1759279117575759E-2</v>
      </c>
      <c r="AS31" s="35">
        <f>$F$28/'Fixed data'!$C$7</f>
        <v>-1.1759279117575759E-2</v>
      </c>
      <c r="AT31" s="35">
        <f>$F$28/'Fixed data'!$C$7</f>
        <v>-1.1759279117575759E-2</v>
      </c>
      <c r="AU31" s="35">
        <f>$F$28/'Fixed data'!$C$7</f>
        <v>-1.1759279117575759E-2</v>
      </c>
      <c r="AV31" s="35">
        <f>$F$28/'Fixed data'!$C$7</f>
        <v>-1.1759279117575759E-2</v>
      </c>
      <c r="AW31" s="35">
        <f>$F$28/'Fixed data'!$C$7</f>
        <v>-1.1759279117575759E-2</v>
      </c>
      <c r="AX31" s="35">
        <f>$F$28/'Fixed data'!$C$7</f>
        <v>-1.1759279117575759E-2</v>
      </c>
      <c r="AY31" s="35">
        <f>$F$28/'Fixed data'!$C$7</f>
        <v>-1.1759279117575759E-2</v>
      </c>
      <c r="AZ31" s="35"/>
      <c r="BA31" s="35"/>
      <c r="BB31" s="35"/>
      <c r="BC31" s="35"/>
      <c r="BD31" s="35"/>
    </row>
    <row r="32" spans="1:56" ht="16.5" hidden="1" customHeight="1" outlineLevel="1" x14ac:dyDescent="0.35">
      <c r="A32" s="114"/>
      <c r="B32" s="9" t="s">
        <v>3</v>
      </c>
      <c r="C32" s="11" t="s">
        <v>53</v>
      </c>
      <c r="D32" s="9" t="s">
        <v>39</v>
      </c>
      <c r="F32" s="35"/>
      <c r="G32" s="35"/>
      <c r="H32" s="35">
        <f>$G$28/'Fixed data'!$C$7</f>
        <v>-1.4878653435474745E-2</v>
      </c>
      <c r="I32" s="35">
        <f>$G$28/'Fixed data'!$C$7</f>
        <v>-1.4878653435474745E-2</v>
      </c>
      <c r="J32" s="35">
        <f>$G$28/'Fixed data'!$C$7</f>
        <v>-1.4878653435474745E-2</v>
      </c>
      <c r="K32" s="35">
        <f>$G$28/'Fixed data'!$C$7</f>
        <v>-1.4878653435474745E-2</v>
      </c>
      <c r="L32" s="35">
        <f>$G$28/'Fixed data'!$C$7</f>
        <v>-1.4878653435474745E-2</v>
      </c>
      <c r="M32" s="35">
        <f>$G$28/'Fixed data'!$C$7</f>
        <v>-1.4878653435474745E-2</v>
      </c>
      <c r="N32" s="35">
        <f>$G$28/'Fixed data'!$C$7</f>
        <v>-1.4878653435474745E-2</v>
      </c>
      <c r="O32" s="35">
        <f>$G$28/'Fixed data'!$C$7</f>
        <v>-1.4878653435474745E-2</v>
      </c>
      <c r="P32" s="35">
        <f>$G$28/'Fixed data'!$C$7</f>
        <v>-1.4878653435474745E-2</v>
      </c>
      <c r="Q32" s="35">
        <f>$G$28/'Fixed data'!$C$7</f>
        <v>-1.4878653435474745E-2</v>
      </c>
      <c r="R32" s="35">
        <f>$G$28/'Fixed data'!$C$7</f>
        <v>-1.4878653435474745E-2</v>
      </c>
      <c r="S32" s="35">
        <f>$G$28/'Fixed data'!$C$7</f>
        <v>-1.4878653435474745E-2</v>
      </c>
      <c r="T32" s="35">
        <f>$G$28/'Fixed data'!$C$7</f>
        <v>-1.4878653435474745E-2</v>
      </c>
      <c r="U32" s="35">
        <f>$G$28/'Fixed data'!$C$7</f>
        <v>-1.4878653435474745E-2</v>
      </c>
      <c r="V32" s="35">
        <f>$G$28/'Fixed data'!$C$7</f>
        <v>-1.4878653435474745E-2</v>
      </c>
      <c r="W32" s="35">
        <f>$G$28/'Fixed data'!$C$7</f>
        <v>-1.4878653435474745E-2</v>
      </c>
      <c r="X32" s="35">
        <f>$G$28/'Fixed data'!$C$7</f>
        <v>-1.4878653435474745E-2</v>
      </c>
      <c r="Y32" s="35">
        <f>$G$28/'Fixed data'!$C$7</f>
        <v>-1.4878653435474745E-2</v>
      </c>
      <c r="Z32" s="35">
        <f>$G$28/'Fixed data'!$C$7</f>
        <v>-1.4878653435474745E-2</v>
      </c>
      <c r="AA32" s="35">
        <f>$G$28/'Fixed data'!$C$7</f>
        <v>-1.4878653435474745E-2</v>
      </c>
      <c r="AB32" s="35">
        <f>$G$28/'Fixed data'!$C$7</f>
        <v>-1.4878653435474745E-2</v>
      </c>
      <c r="AC32" s="35">
        <f>$G$28/'Fixed data'!$C$7</f>
        <v>-1.4878653435474745E-2</v>
      </c>
      <c r="AD32" s="35">
        <f>$G$28/'Fixed data'!$C$7</f>
        <v>-1.4878653435474745E-2</v>
      </c>
      <c r="AE32" s="35">
        <f>$G$28/'Fixed data'!$C$7</f>
        <v>-1.4878653435474745E-2</v>
      </c>
      <c r="AF32" s="35">
        <f>$G$28/'Fixed data'!$C$7</f>
        <v>-1.4878653435474745E-2</v>
      </c>
      <c r="AG32" s="35">
        <f>$G$28/'Fixed data'!$C$7</f>
        <v>-1.4878653435474745E-2</v>
      </c>
      <c r="AH32" s="35">
        <f>$G$28/'Fixed data'!$C$7</f>
        <v>-1.4878653435474745E-2</v>
      </c>
      <c r="AI32" s="35">
        <f>$G$28/'Fixed data'!$C$7</f>
        <v>-1.4878653435474745E-2</v>
      </c>
      <c r="AJ32" s="35">
        <f>$G$28/'Fixed data'!$C$7</f>
        <v>-1.4878653435474745E-2</v>
      </c>
      <c r="AK32" s="35">
        <f>$G$28/'Fixed data'!$C$7</f>
        <v>-1.4878653435474745E-2</v>
      </c>
      <c r="AL32" s="35">
        <f>$G$28/'Fixed data'!$C$7</f>
        <v>-1.4878653435474745E-2</v>
      </c>
      <c r="AM32" s="35">
        <f>$G$28/'Fixed data'!$C$7</f>
        <v>-1.4878653435474745E-2</v>
      </c>
      <c r="AN32" s="35">
        <f>$G$28/'Fixed data'!$C$7</f>
        <v>-1.4878653435474745E-2</v>
      </c>
      <c r="AO32" s="35">
        <f>$G$28/'Fixed data'!$C$7</f>
        <v>-1.4878653435474745E-2</v>
      </c>
      <c r="AP32" s="35">
        <f>$G$28/'Fixed data'!$C$7</f>
        <v>-1.4878653435474745E-2</v>
      </c>
      <c r="AQ32" s="35">
        <f>$G$28/'Fixed data'!$C$7</f>
        <v>-1.4878653435474745E-2</v>
      </c>
      <c r="AR32" s="35">
        <f>$G$28/'Fixed data'!$C$7</f>
        <v>-1.4878653435474745E-2</v>
      </c>
      <c r="AS32" s="35">
        <f>$G$28/'Fixed data'!$C$7</f>
        <v>-1.4878653435474745E-2</v>
      </c>
      <c r="AT32" s="35">
        <f>$G$28/'Fixed data'!$C$7</f>
        <v>-1.4878653435474745E-2</v>
      </c>
      <c r="AU32" s="35">
        <f>$G$28/'Fixed data'!$C$7</f>
        <v>-1.4878653435474745E-2</v>
      </c>
      <c r="AV32" s="35">
        <f>$G$28/'Fixed data'!$C$7</f>
        <v>-1.4878653435474745E-2</v>
      </c>
      <c r="AW32" s="35">
        <f>$G$28/'Fixed data'!$C$7</f>
        <v>-1.4878653435474745E-2</v>
      </c>
      <c r="AX32" s="35">
        <f>$G$28/'Fixed data'!$C$7</f>
        <v>-1.4878653435474745E-2</v>
      </c>
      <c r="AY32" s="35">
        <f>$G$28/'Fixed data'!$C$7</f>
        <v>-1.4878653435474745E-2</v>
      </c>
      <c r="AZ32" s="35">
        <f>$G$28/'Fixed data'!$C$7</f>
        <v>-1.4878653435474745E-2</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-1.1134186300463459E-2</v>
      </c>
      <c r="G60" s="35">
        <f t="shared" si="5"/>
        <v>-2.2893465418039216E-2</v>
      </c>
      <c r="H60" s="35">
        <f t="shared" si="5"/>
        <v>-3.7772118853513961E-2</v>
      </c>
      <c r="I60" s="35">
        <f t="shared" si="5"/>
        <v>-3.7772118853513961E-2</v>
      </c>
      <c r="J60" s="35">
        <f t="shared" si="5"/>
        <v>-3.7772118853513961E-2</v>
      </c>
      <c r="K60" s="35">
        <f t="shared" si="5"/>
        <v>-3.7772118853513961E-2</v>
      </c>
      <c r="L60" s="35">
        <f t="shared" si="5"/>
        <v>-3.7772118853513961E-2</v>
      </c>
      <c r="M60" s="35">
        <f t="shared" si="5"/>
        <v>-3.7772118853513961E-2</v>
      </c>
      <c r="N60" s="35">
        <f t="shared" si="5"/>
        <v>-3.7772118853513961E-2</v>
      </c>
      <c r="O60" s="35">
        <f t="shared" si="5"/>
        <v>-3.7772118853513961E-2</v>
      </c>
      <c r="P60" s="35">
        <f t="shared" si="5"/>
        <v>-3.7772118853513961E-2</v>
      </c>
      <c r="Q60" s="35">
        <f t="shared" si="5"/>
        <v>-3.7772118853513961E-2</v>
      </c>
      <c r="R60" s="35">
        <f t="shared" si="5"/>
        <v>-3.7772118853513961E-2</v>
      </c>
      <c r="S60" s="35">
        <f t="shared" si="5"/>
        <v>-3.7772118853513961E-2</v>
      </c>
      <c r="T60" s="35">
        <f t="shared" si="5"/>
        <v>-3.7772118853513961E-2</v>
      </c>
      <c r="U60" s="35">
        <f t="shared" si="5"/>
        <v>-3.7772118853513961E-2</v>
      </c>
      <c r="V60" s="35">
        <f t="shared" si="5"/>
        <v>-3.7772118853513961E-2</v>
      </c>
      <c r="W60" s="35">
        <f t="shared" si="5"/>
        <v>-3.7772118853513961E-2</v>
      </c>
      <c r="X60" s="35">
        <f t="shared" si="5"/>
        <v>-3.7772118853513961E-2</v>
      </c>
      <c r="Y60" s="35">
        <f t="shared" si="5"/>
        <v>-3.7772118853513961E-2</v>
      </c>
      <c r="Z60" s="35">
        <f t="shared" si="5"/>
        <v>-3.7772118853513961E-2</v>
      </c>
      <c r="AA60" s="35">
        <f t="shared" si="5"/>
        <v>-3.7772118853513961E-2</v>
      </c>
      <c r="AB60" s="35">
        <f t="shared" si="5"/>
        <v>-3.7772118853513961E-2</v>
      </c>
      <c r="AC60" s="35">
        <f t="shared" si="5"/>
        <v>-3.7772118853513961E-2</v>
      </c>
      <c r="AD60" s="35">
        <f t="shared" si="5"/>
        <v>-3.7772118853513961E-2</v>
      </c>
      <c r="AE60" s="35">
        <f t="shared" si="5"/>
        <v>-3.7772118853513961E-2</v>
      </c>
      <c r="AF60" s="35">
        <f t="shared" si="5"/>
        <v>-3.7772118853513961E-2</v>
      </c>
      <c r="AG60" s="35">
        <f t="shared" si="5"/>
        <v>-3.7772118853513961E-2</v>
      </c>
      <c r="AH60" s="35">
        <f t="shared" si="5"/>
        <v>-3.7772118853513961E-2</v>
      </c>
      <c r="AI60" s="35">
        <f t="shared" si="5"/>
        <v>-3.7772118853513961E-2</v>
      </c>
      <c r="AJ60" s="35">
        <f t="shared" si="5"/>
        <v>-3.7772118853513961E-2</v>
      </c>
      <c r="AK60" s="35">
        <f t="shared" si="5"/>
        <v>-3.7772118853513961E-2</v>
      </c>
      <c r="AL60" s="35">
        <f t="shared" si="5"/>
        <v>-3.7772118853513961E-2</v>
      </c>
      <c r="AM60" s="35">
        <f t="shared" si="5"/>
        <v>-3.7772118853513961E-2</v>
      </c>
      <c r="AN60" s="35">
        <f t="shared" si="5"/>
        <v>-3.7772118853513961E-2</v>
      </c>
      <c r="AO60" s="35">
        <f t="shared" si="5"/>
        <v>-3.7772118853513961E-2</v>
      </c>
      <c r="AP60" s="35">
        <f t="shared" si="5"/>
        <v>-3.7772118853513961E-2</v>
      </c>
      <c r="AQ60" s="35">
        <f t="shared" si="5"/>
        <v>-3.7772118853513961E-2</v>
      </c>
      <c r="AR60" s="35">
        <f t="shared" si="5"/>
        <v>-3.7772118853513961E-2</v>
      </c>
      <c r="AS60" s="35">
        <f t="shared" si="5"/>
        <v>-3.7772118853513961E-2</v>
      </c>
      <c r="AT60" s="35">
        <f t="shared" si="5"/>
        <v>-3.7772118853513961E-2</v>
      </c>
      <c r="AU60" s="35">
        <f t="shared" si="5"/>
        <v>-3.7772118853513961E-2</v>
      </c>
      <c r="AV60" s="35">
        <f t="shared" si="5"/>
        <v>-3.7772118853513961E-2</v>
      </c>
      <c r="AW60" s="35">
        <f t="shared" si="5"/>
        <v>-3.7772118853513961E-2</v>
      </c>
      <c r="AX60" s="35">
        <f t="shared" si="5"/>
        <v>-3.7772118853513961E-2</v>
      </c>
      <c r="AY60" s="35">
        <f t="shared" si="5"/>
        <v>-2.6637932553050504E-2</v>
      </c>
      <c r="AZ60" s="35">
        <f t="shared" si="5"/>
        <v>-1.4878653435474745E-2</v>
      </c>
      <c r="BA60" s="35">
        <f t="shared" si="5"/>
        <v>0</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-0.50103838352085561</v>
      </c>
      <c r="G61" s="35">
        <f t="shared" ref="G61:BD61" si="6">F62</f>
        <v>-1.0190717575113013</v>
      </c>
      <c r="H61" s="35">
        <f t="shared" si="6"/>
        <v>-1.6657176966896257</v>
      </c>
      <c r="I61" s="35">
        <f t="shared" si="6"/>
        <v>-1.6279455778361116</v>
      </c>
      <c r="J61" s="35">
        <f t="shared" si="6"/>
        <v>-1.5901734589825975</v>
      </c>
      <c r="K61" s="35">
        <f t="shared" si="6"/>
        <v>-1.5524013401290835</v>
      </c>
      <c r="L61" s="35">
        <f t="shared" si="6"/>
        <v>-1.5146292212755694</v>
      </c>
      <c r="M61" s="35">
        <f t="shared" si="6"/>
        <v>-1.4768571024220554</v>
      </c>
      <c r="N61" s="35">
        <f t="shared" si="6"/>
        <v>-1.4390849835685413</v>
      </c>
      <c r="O61" s="35">
        <f t="shared" si="6"/>
        <v>-1.4013128647150273</v>
      </c>
      <c r="P61" s="35">
        <f t="shared" si="6"/>
        <v>-1.3635407458615132</v>
      </c>
      <c r="Q61" s="35">
        <f t="shared" si="6"/>
        <v>-1.3257686270079991</v>
      </c>
      <c r="R61" s="35">
        <f t="shared" si="6"/>
        <v>-1.2879965081544851</v>
      </c>
      <c r="S61" s="35">
        <f t="shared" si="6"/>
        <v>-1.250224389300971</v>
      </c>
      <c r="T61" s="35">
        <f t="shared" si="6"/>
        <v>-1.212452270447457</v>
      </c>
      <c r="U61" s="35">
        <f t="shared" si="6"/>
        <v>-1.1746801515939429</v>
      </c>
      <c r="V61" s="35">
        <f t="shared" si="6"/>
        <v>-1.1369080327404288</v>
      </c>
      <c r="W61" s="35">
        <f t="shared" si="6"/>
        <v>-1.0991359138869148</v>
      </c>
      <c r="X61" s="35">
        <f t="shared" si="6"/>
        <v>-1.0613637950334007</v>
      </c>
      <c r="Y61" s="35">
        <f t="shared" si="6"/>
        <v>-1.0235916761798867</v>
      </c>
      <c r="Z61" s="35">
        <f t="shared" si="6"/>
        <v>-0.98581955732637272</v>
      </c>
      <c r="AA61" s="35">
        <f t="shared" si="6"/>
        <v>-0.94804743847285877</v>
      </c>
      <c r="AB61" s="35">
        <f t="shared" si="6"/>
        <v>-0.91027531961934482</v>
      </c>
      <c r="AC61" s="35">
        <f t="shared" si="6"/>
        <v>-0.87250320076583088</v>
      </c>
      <c r="AD61" s="35">
        <f t="shared" si="6"/>
        <v>-0.83473108191231693</v>
      </c>
      <c r="AE61" s="35">
        <f t="shared" si="6"/>
        <v>-0.79695896305880298</v>
      </c>
      <c r="AF61" s="35">
        <f t="shared" si="6"/>
        <v>-0.75918684420528904</v>
      </c>
      <c r="AG61" s="35">
        <f t="shared" si="6"/>
        <v>-0.72141472535177509</v>
      </c>
      <c r="AH61" s="35">
        <f t="shared" si="6"/>
        <v>-0.68364260649826114</v>
      </c>
      <c r="AI61" s="35">
        <f t="shared" si="6"/>
        <v>-0.64587048764474719</v>
      </c>
      <c r="AJ61" s="35">
        <f t="shared" si="6"/>
        <v>-0.60809836879123325</v>
      </c>
      <c r="AK61" s="35">
        <f t="shared" si="6"/>
        <v>-0.5703262499377193</v>
      </c>
      <c r="AL61" s="35">
        <f t="shared" si="6"/>
        <v>-0.53255413108420535</v>
      </c>
      <c r="AM61" s="35">
        <f t="shared" si="6"/>
        <v>-0.4947820122306914</v>
      </c>
      <c r="AN61" s="35">
        <f t="shared" si="6"/>
        <v>-0.45700989337717746</v>
      </c>
      <c r="AO61" s="35">
        <f t="shared" si="6"/>
        <v>-0.41923777452366351</v>
      </c>
      <c r="AP61" s="35">
        <f t="shared" si="6"/>
        <v>-0.38146565567014956</v>
      </c>
      <c r="AQ61" s="35">
        <f t="shared" si="6"/>
        <v>-0.34369353681663561</v>
      </c>
      <c r="AR61" s="35">
        <f t="shared" si="6"/>
        <v>-0.30592141796312167</v>
      </c>
      <c r="AS61" s="35">
        <f t="shared" si="6"/>
        <v>-0.26814929910960772</v>
      </c>
      <c r="AT61" s="35">
        <f t="shared" si="6"/>
        <v>-0.23037718025609377</v>
      </c>
      <c r="AU61" s="35">
        <f t="shared" si="6"/>
        <v>-0.19260506140257982</v>
      </c>
      <c r="AV61" s="35">
        <f t="shared" si="6"/>
        <v>-0.15483294254906588</v>
      </c>
      <c r="AW61" s="35">
        <f t="shared" si="6"/>
        <v>-0.11706082369555192</v>
      </c>
      <c r="AX61" s="35">
        <f t="shared" si="6"/>
        <v>-7.9288704842037955E-2</v>
      </c>
      <c r="AY61" s="35">
        <f t="shared" si="6"/>
        <v>-4.1516585988523994E-2</v>
      </c>
      <c r="AZ61" s="35">
        <f t="shared" si="6"/>
        <v>-1.4878653435473489E-2</v>
      </c>
      <c r="BA61" s="35">
        <f t="shared" si="6"/>
        <v>1.2559397966072083E-15</v>
      </c>
      <c r="BB61" s="35">
        <f t="shared" si="6"/>
        <v>1.2559397966072083E-15</v>
      </c>
      <c r="BC61" s="35">
        <f t="shared" si="6"/>
        <v>1.2559397966072083E-15</v>
      </c>
      <c r="BD61" s="35">
        <f t="shared" si="6"/>
        <v>1.2559397966072083E-15</v>
      </c>
    </row>
    <row r="62" spans="1:56" ht="16.5" hidden="1" customHeight="1" outlineLevel="1" x14ac:dyDescent="0.3">
      <c r="A62" s="114"/>
      <c r="B62" s="9" t="s">
        <v>33</v>
      </c>
      <c r="C62" s="9" t="s">
        <v>67</v>
      </c>
      <c r="D62" s="9" t="s">
        <v>39</v>
      </c>
      <c r="E62" s="35">
        <f t="shared" ref="E62:BD62" si="7">E28-E60+E61</f>
        <v>-0.50103838352085561</v>
      </c>
      <c r="F62" s="35">
        <f t="shared" si="7"/>
        <v>-1.0190717575113013</v>
      </c>
      <c r="G62" s="35">
        <f t="shared" si="7"/>
        <v>-1.6657176966896257</v>
      </c>
      <c r="H62" s="35">
        <f t="shared" si="7"/>
        <v>-1.6279455778361116</v>
      </c>
      <c r="I62" s="35">
        <f t="shared" si="7"/>
        <v>-1.5901734589825975</v>
      </c>
      <c r="J62" s="35">
        <f t="shared" si="7"/>
        <v>-1.5524013401290835</v>
      </c>
      <c r="K62" s="35">
        <f t="shared" si="7"/>
        <v>-1.5146292212755694</v>
      </c>
      <c r="L62" s="35">
        <f t="shared" si="7"/>
        <v>-1.4768571024220554</v>
      </c>
      <c r="M62" s="35">
        <f t="shared" si="7"/>
        <v>-1.4390849835685413</v>
      </c>
      <c r="N62" s="35">
        <f t="shared" si="7"/>
        <v>-1.4013128647150273</v>
      </c>
      <c r="O62" s="35">
        <f t="shared" si="7"/>
        <v>-1.3635407458615132</v>
      </c>
      <c r="P62" s="35">
        <f t="shared" si="7"/>
        <v>-1.3257686270079991</v>
      </c>
      <c r="Q62" s="35">
        <f t="shared" si="7"/>
        <v>-1.2879965081544851</v>
      </c>
      <c r="R62" s="35">
        <f t="shared" si="7"/>
        <v>-1.250224389300971</v>
      </c>
      <c r="S62" s="35">
        <f t="shared" si="7"/>
        <v>-1.212452270447457</v>
      </c>
      <c r="T62" s="35">
        <f t="shared" si="7"/>
        <v>-1.1746801515939429</v>
      </c>
      <c r="U62" s="35">
        <f t="shared" si="7"/>
        <v>-1.1369080327404288</v>
      </c>
      <c r="V62" s="35">
        <f t="shared" si="7"/>
        <v>-1.0991359138869148</v>
      </c>
      <c r="W62" s="35">
        <f t="shared" si="7"/>
        <v>-1.0613637950334007</v>
      </c>
      <c r="X62" s="35">
        <f t="shared" si="7"/>
        <v>-1.0235916761798867</v>
      </c>
      <c r="Y62" s="35">
        <f t="shared" si="7"/>
        <v>-0.98581955732637272</v>
      </c>
      <c r="Z62" s="35">
        <f t="shared" si="7"/>
        <v>-0.94804743847285877</v>
      </c>
      <c r="AA62" s="35">
        <f t="shared" si="7"/>
        <v>-0.91027531961934482</v>
      </c>
      <c r="AB62" s="35">
        <f t="shared" si="7"/>
        <v>-0.87250320076583088</v>
      </c>
      <c r="AC62" s="35">
        <f t="shared" si="7"/>
        <v>-0.83473108191231693</v>
      </c>
      <c r="AD62" s="35">
        <f t="shared" si="7"/>
        <v>-0.79695896305880298</v>
      </c>
      <c r="AE62" s="35">
        <f t="shared" si="7"/>
        <v>-0.75918684420528904</v>
      </c>
      <c r="AF62" s="35">
        <f t="shared" si="7"/>
        <v>-0.72141472535177509</v>
      </c>
      <c r="AG62" s="35">
        <f t="shared" si="7"/>
        <v>-0.68364260649826114</v>
      </c>
      <c r="AH62" s="35">
        <f t="shared" si="7"/>
        <v>-0.64587048764474719</v>
      </c>
      <c r="AI62" s="35">
        <f t="shared" si="7"/>
        <v>-0.60809836879123325</v>
      </c>
      <c r="AJ62" s="35">
        <f t="shared" si="7"/>
        <v>-0.5703262499377193</v>
      </c>
      <c r="AK62" s="35">
        <f t="shared" si="7"/>
        <v>-0.53255413108420535</v>
      </c>
      <c r="AL62" s="35">
        <f t="shared" si="7"/>
        <v>-0.4947820122306914</v>
      </c>
      <c r="AM62" s="35">
        <f t="shared" si="7"/>
        <v>-0.45700989337717746</v>
      </c>
      <c r="AN62" s="35">
        <f t="shared" si="7"/>
        <v>-0.41923777452366351</v>
      </c>
      <c r="AO62" s="35">
        <f t="shared" si="7"/>
        <v>-0.38146565567014956</v>
      </c>
      <c r="AP62" s="35">
        <f t="shared" si="7"/>
        <v>-0.34369353681663561</v>
      </c>
      <c r="AQ62" s="35">
        <f t="shared" si="7"/>
        <v>-0.30592141796312167</v>
      </c>
      <c r="AR62" s="35">
        <f t="shared" si="7"/>
        <v>-0.26814929910960772</v>
      </c>
      <c r="AS62" s="35">
        <f t="shared" si="7"/>
        <v>-0.23037718025609377</v>
      </c>
      <c r="AT62" s="35">
        <f t="shared" si="7"/>
        <v>-0.19260506140257982</v>
      </c>
      <c r="AU62" s="35">
        <f t="shared" si="7"/>
        <v>-0.15483294254906588</v>
      </c>
      <c r="AV62" s="35">
        <f t="shared" si="7"/>
        <v>-0.11706082369555192</v>
      </c>
      <c r="AW62" s="35">
        <f t="shared" si="7"/>
        <v>-7.9288704842037955E-2</v>
      </c>
      <c r="AX62" s="35">
        <f t="shared" si="7"/>
        <v>-4.1516585988523994E-2</v>
      </c>
      <c r="AY62" s="35">
        <f t="shared" si="7"/>
        <v>-1.4878653435473489E-2</v>
      </c>
      <c r="AZ62" s="35">
        <f t="shared" si="7"/>
        <v>1.2559397966072083E-15</v>
      </c>
      <c r="BA62" s="35">
        <f t="shared" si="7"/>
        <v>1.2559397966072083E-15</v>
      </c>
      <c r="BB62" s="35">
        <f t="shared" si="7"/>
        <v>1.2559397966072083E-15</v>
      </c>
      <c r="BC62" s="35">
        <f t="shared" si="7"/>
        <v>1.2559397966072083E-15</v>
      </c>
      <c r="BD62" s="35">
        <f t="shared" si="7"/>
        <v>1.2559397966072083E-15</v>
      </c>
    </row>
    <row r="63" spans="1:56" ht="16.5" collapsed="1" x14ac:dyDescent="0.3">
      <c r="A63" s="114"/>
      <c r="B63" s="9" t="s">
        <v>8</v>
      </c>
      <c r="C63" s="11" t="s">
        <v>66</v>
      </c>
      <c r="D63" s="9" t="s">
        <v>39</v>
      </c>
      <c r="E63" s="35">
        <f>AVERAGE(E61:E62)*'Fixed data'!$C$3</f>
        <v>-1.0020767670417112E-2</v>
      </c>
      <c r="F63" s="35">
        <f>AVERAGE(F61:F62)*'Fixed data'!$C$3</f>
        <v>-3.040220282064314E-2</v>
      </c>
      <c r="G63" s="35">
        <f>AVERAGE(G61:G62)*'Fixed data'!$C$3</f>
        <v>-5.3695789084018543E-2</v>
      </c>
      <c r="H63" s="35">
        <f>AVERAGE(H61:H62)*'Fixed data'!$C$3</f>
        <v>-6.587326549051474E-2</v>
      </c>
      <c r="I63" s="35">
        <f>AVERAGE(I61:I62)*'Fixed data'!$C$3</f>
        <v>-6.4362380736374181E-2</v>
      </c>
      <c r="J63" s="35">
        <f>AVERAGE(J61:J62)*'Fixed data'!$C$3</f>
        <v>-6.2851495982233621E-2</v>
      </c>
      <c r="K63" s="35">
        <f>AVERAGE(K61:K62)*'Fixed data'!$C$3</f>
        <v>-6.1340611228093062E-2</v>
      </c>
      <c r="L63" s="35">
        <f>AVERAGE(L61:L62)*'Fixed data'!$C$3</f>
        <v>-5.9829726473952495E-2</v>
      </c>
      <c r="M63" s="35">
        <f>AVERAGE(M61:M62)*'Fixed data'!$C$3</f>
        <v>-5.8318841719811935E-2</v>
      </c>
      <c r="N63" s="35">
        <f>AVERAGE(N61:N62)*'Fixed data'!$C$3</f>
        <v>-5.6807956965671369E-2</v>
      </c>
      <c r="O63" s="35">
        <f>AVERAGE(O61:O62)*'Fixed data'!$C$3</f>
        <v>-5.5297072211530809E-2</v>
      </c>
      <c r="P63" s="35">
        <f>AVERAGE(P61:P62)*'Fixed data'!$C$3</f>
        <v>-5.378618745739025E-2</v>
      </c>
      <c r="Q63" s="35">
        <f>AVERAGE(Q61:Q62)*'Fixed data'!$C$3</f>
        <v>-5.2275302703249683E-2</v>
      </c>
      <c r="R63" s="35">
        <f>AVERAGE(R61:R62)*'Fixed data'!$C$3</f>
        <v>-5.0764417949109124E-2</v>
      </c>
      <c r="S63" s="35">
        <f>AVERAGE(S61:S62)*'Fixed data'!$C$3</f>
        <v>-4.9253533194968557E-2</v>
      </c>
      <c r="T63" s="35">
        <f>AVERAGE(T61:T62)*'Fixed data'!$C$3</f>
        <v>-4.7742648440827998E-2</v>
      </c>
      <c r="U63" s="35">
        <f>AVERAGE(U61:U62)*'Fixed data'!$C$3</f>
        <v>-4.6231763686687438E-2</v>
      </c>
      <c r="V63" s="35">
        <f>AVERAGE(V61:V62)*'Fixed data'!$C$3</f>
        <v>-4.4720878932546872E-2</v>
      </c>
      <c r="W63" s="35">
        <f>AVERAGE(W61:W62)*'Fixed data'!$C$3</f>
        <v>-4.3209994178406312E-2</v>
      </c>
      <c r="X63" s="35">
        <f>AVERAGE(X61:X62)*'Fixed data'!$C$3</f>
        <v>-4.1699109424265746E-2</v>
      </c>
      <c r="Y63" s="35">
        <f>AVERAGE(Y61:Y62)*'Fixed data'!$C$3</f>
        <v>-4.0188224670125186E-2</v>
      </c>
      <c r="Z63" s="35">
        <f>AVERAGE(Z61:Z62)*'Fixed data'!$C$3</f>
        <v>-3.8677339915984633E-2</v>
      </c>
      <c r="AA63" s="35">
        <f>AVERAGE(AA61:AA62)*'Fixed data'!$C$3</f>
        <v>-3.7166455161844074E-2</v>
      </c>
      <c r="AB63" s="35">
        <f>AVERAGE(AB61:AB62)*'Fixed data'!$C$3</f>
        <v>-3.5655570407703514E-2</v>
      </c>
      <c r="AC63" s="35">
        <f>AVERAGE(AC61:AC62)*'Fixed data'!$C$3</f>
        <v>-3.4144685653562955E-2</v>
      </c>
      <c r="AD63" s="35">
        <f>AVERAGE(AD61:AD62)*'Fixed data'!$C$3</f>
        <v>-3.2633800899422402E-2</v>
      </c>
      <c r="AE63" s="35">
        <f>AVERAGE(AE61:AE62)*'Fixed data'!$C$3</f>
        <v>-3.1122916145281839E-2</v>
      </c>
      <c r="AF63" s="35">
        <f>AVERAGE(AF61:AF62)*'Fixed data'!$C$3</f>
        <v>-2.9612031391141286E-2</v>
      </c>
      <c r="AG63" s="35">
        <f>AVERAGE(AG61:AG62)*'Fixed data'!$C$3</f>
        <v>-2.8101146637000723E-2</v>
      </c>
      <c r="AH63" s="35">
        <f>AVERAGE(AH61:AH62)*'Fixed data'!$C$3</f>
        <v>-2.6590261882860171E-2</v>
      </c>
      <c r="AI63" s="35">
        <f>AVERAGE(AI61:AI62)*'Fixed data'!$C$3</f>
        <v>-2.5079377128719608E-2</v>
      </c>
      <c r="AJ63" s="35">
        <f>AVERAGE(AJ61:AJ62)*'Fixed data'!$C$3</f>
        <v>-2.3568492374579055E-2</v>
      </c>
      <c r="AK63" s="35">
        <f>AVERAGE(AK61:AK62)*'Fixed data'!$C$3</f>
        <v>-2.2057607620438492E-2</v>
      </c>
      <c r="AL63" s="35">
        <f>AVERAGE(AL61:AL62)*'Fixed data'!$C$3</f>
        <v>-2.0546722866297936E-2</v>
      </c>
      <c r="AM63" s="35">
        <f>AVERAGE(AM61:AM62)*'Fixed data'!$C$3</f>
        <v>-1.9035838112157377E-2</v>
      </c>
      <c r="AN63" s="35">
        <f>AVERAGE(AN61:AN62)*'Fixed data'!$C$3</f>
        <v>-1.752495335801682E-2</v>
      </c>
      <c r="AO63" s="35">
        <f>AVERAGE(AO61:AO62)*'Fixed data'!$C$3</f>
        <v>-1.6014068603876261E-2</v>
      </c>
      <c r="AP63" s="35">
        <f>AVERAGE(AP61:AP62)*'Fixed data'!$C$3</f>
        <v>-1.4503183849735703E-2</v>
      </c>
      <c r="AQ63" s="35">
        <f>AVERAGE(AQ61:AQ62)*'Fixed data'!$C$3</f>
        <v>-1.2992299095595145E-2</v>
      </c>
      <c r="AR63" s="35">
        <f>AVERAGE(AR61:AR62)*'Fixed data'!$C$3</f>
        <v>-1.1481414341454587E-2</v>
      </c>
      <c r="AS63" s="35">
        <f>AVERAGE(AS61:AS62)*'Fixed data'!$C$3</f>
        <v>-9.9705295873140296E-3</v>
      </c>
      <c r="AT63" s="35">
        <f>AVERAGE(AT61:AT62)*'Fixed data'!$C$3</f>
        <v>-8.4596448331734717E-3</v>
      </c>
      <c r="AU63" s="35">
        <f>AVERAGE(AU61:AU62)*'Fixed data'!$C$3</f>
        <v>-6.9487600790329139E-3</v>
      </c>
      <c r="AV63" s="35">
        <f>AVERAGE(AV61:AV62)*'Fixed data'!$C$3</f>
        <v>-5.4378753248923561E-3</v>
      </c>
      <c r="AW63" s="35">
        <f>AVERAGE(AW61:AW62)*'Fixed data'!$C$3</f>
        <v>-3.9269905707517974E-3</v>
      </c>
      <c r="AX63" s="35">
        <f>AVERAGE(AX61:AX62)*'Fixed data'!$C$3</f>
        <v>-2.4161058166112391E-3</v>
      </c>
      <c r="AY63" s="35">
        <f>AVERAGE(AY61:AY62)*'Fixed data'!$C$3</f>
        <v>-1.1279047884799496E-3</v>
      </c>
      <c r="AZ63" s="35">
        <f>AVERAGE(AZ61:AZ62)*'Fixed data'!$C$3</f>
        <v>-2.9757306870944469E-4</v>
      </c>
      <c r="BA63" s="35">
        <f>AVERAGE(BA61:BA62)*'Fixed data'!$C$3</f>
        <v>5.0237591864288335E-17</v>
      </c>
      <c r="BB63" s="35">
        <f>AVERAGE(BB61:BB62)*'Fixed data'!$C$3</f>
        <v>5.0237591864288335E-17</v>
      </c>
      <c r="BC63" s="35">
        <f>AVERAGE(BC61:BC62)*'Fixed data'!$C$3</f>
        <v>5.0237591864288335E-17</v>
      </c>
      <c r="BD63" s="35">
        <f>AVERAGE(BD61:BD62)*'Fixed data'!$C$3</f>
        <v>5.0237591864288335E-17</v>
      </c>
    </row>
    <row r="64" spans="1:56" ht="15.75" thickBot="1" x14ac:dyDescent="0.35">
      <c r="A64" s="113"/>
      <c r="B64" s="12" t="s">
        <v>92</v>
      </c>
      <c r="C64" s="12" t="s">
        <v>44</v>
      </c>
      <c r="D64" s="12" t="s">
        <v>39</v>
      </c>
      <c r="E64" s="53">
        <f t="shared" ref="E64:BD64" si="8">E29+E60+E63</f>
        <v>-0.22475150346506953</v>
      </c>
      <c r="F64" s="53">
        <f t="shared" si="8"/>
        <v>-0.26832248638863909</v>
      </c>
      <c r="G64" s="53">
        <f t="shared" si="8"/>
        <v>-0.36353471361478507</v>
      </c>
      <c r="H64" s="53">
        <f t="shared" si="8"/>
        <v>-0.1036453843440287</v>
      </c>
      <c r="I64" s="53">
        <f t="shared" si="8"/>
        <v>-0.10213449958988814</v>
      </c>
      <c r="J64" s="53">
        <f t="shared" si="8"/>
        <v>-0.10062361483574758</v>
      </c>
      <c r="K64" s="53">
        <f t="shared" si="8"/>
        <v>-9.9112730081607023E-2</v>
      </c>
      <c r="L64" s="53">
        <f t="shared" si="8"/>
        <v>-9.7601845327466463E-2</v>
      </c>
      <c r="M64" s="53">
        <f t="shared" si="8"/>
        <v>-9.609096057332589E-2</v>
      </c>
      <c r="N64" s="53">
        <f t="shared" si="8"/>
        <v>-9.458007581918533E-2</v>
      </c>
      <c r="O64" s="53">
        <f t="shared" si="8"/>
        <v>-9.3069191065044771E-2</v>
      </c>
      <c r="P64" s="53">
        <f t="shared" si="8"/>
        <v>-9.1558306310904211E-2</v>
      </c>
      <c r="Q64" s="53">
        <f t="shared" si="8"/>
        <v>-9.0047421556763652E-2</v>
      </c>
      <c r="R64" s="53">
        <f t="shared" si="8"/>
        <v>-8.8536536802623078E-2</v>
      </c>
      <c r="S64" s="53">
        <f t="shared" si="8"/>
        <v>-8.7025652048482519E-2</v>
      </c>
      <c r="T64" s="53">
        <f t="shared" si="8"/>
        <v>-8.5514767294341959E-2</v>
      </c>
      <c r="U64" s="53">
        <f t="shared" si="8"/>
        <v>-8.4003882540201399E-2</v>
      </c>
      <c r="V64" s="53">
        <f t="shared" si="8"/>
        <v>-8.249299778606084E-2</v>
      </c>
      <c r="W64" s="53">
        <f t="shared" si="8"/>
        <v>-8.0982113031920266E-2</v>
      </c>
      <c r="X64" s="53">
        <f t="shared" si="8"/>
        <v>-7.9471228277779707E-2</v>
      </c>
      <c r="Y64" s="53">
        <f t="shared" si="8"/>
        <v>-7.7960343523639147E-2</v>
      </c>
      <c r="Z64" s="53">
        <f t="shared" si="8"/>
        <v>-7.6449458769498602E-2</v>
      </c>
      <c r="AA64" s="53">
        <f t="shared" si="8"/>
        <v>-7.4938574015358028E-2</v>
      </c>
      <c r="AB64" s="53">
        <f t="shared" si="8"/>
        <v>-7.3427689261217483E-2</v>
      </c>
      <c r="AC64" s="53">
        <f t="shared" si="8"/>
        <v>-7.1916804507076909E-2</v>
      </c>
      <c r="AD64" s="53">
        <f t="shared" si="8"/>
        <v>-7.0405919752936363E-2</v>
      </c>
      <c r="AE64" s="53">
        <f t="shared" si="8"/>
        <v>-6.8895034998795804E-2</v>
      </c>
      <c r="AF64" s="53">
        <f t="shared" si="8"/>
        <v>-6.7384150244655244E-2</v>
      </c>
      <c r="AG64" s="53">
        <f t="shared" si="8"/>
        <v>-6.5873265490514685E-2</v>
      </c>
      <c r="AH64" s="53">
        <f t="shared" si="8"/>
        <v>-6.4362380736374125E-2</v>
      </c>
      <c r="AI64" s="53">
        <f t="shared" si="8"/>
        <v>-6.2851495982233566E-2</v>
      </c>
      <c r="AJ64" s="53">
        <f t="shared" si="8"/>
        <v>-6.134061122809302E-2</v>
      </c>
      <c r="AK64" s="53">
        <f t="shared" si="8"/>
        <v>-5.9829726473952453E-2</v>
      </c>
      <c r="AL64" s="53">
        <f t="shared" si="8"/>
        <v>-5.8318841719811901E-2</v>
      </c>
      <c r="AM64" s="53">
        <f t="shared" si="8"/>
        <v>-5.6807956965671341E-2</v>
      </c>
      <c r="AN64" s="53">
        <f t="shared" si="8"/>
        <v>-5.5297072211530782E-2</v>
      </c>
      <c r="AO64" s="53">
        <f t="shared" si="8"/>
        <v>-5.3786187457390222E-2</v>
      </c>
      <c r="AP64" s="53">
        <f t="shared" si="8"/>
        <v>-5.2275302703249663E-2</v>
      </c>
      <c r="AQ64" s="53">
        <f t="shared" si="8"/>
        <v>-5.0764417949109103E-2</v>
      </c>
      <c r="AR64" s="53">
        <f t="shared" si="8"/>
        <v>-4.925353319496855E-2</v>
      </c>
      <c r="AS64" s="53">
        <f t="shared" si="8"/>
        <v>-4.7742648440827991E-2</v>
      </c>
      <c r="AT64" s="53">
        <f t="shared" si="8"/>
        <v>-4.6231763686687431E-2</v>
      </c>
      <c r="AU64" s="53">
        <f t="shared" si="8"/>
        <v>-4.4720878932546879E-2</v>
      </c>
      <c r="AV64" s="53">
        <f t="shared" si="8"/>
        <v>-4.3209994178406319E-2</v>
      </c>
      <c r="AW64" s="53">
        <f t="shared" si="8"/>
        <v>-4.169910942426576E-2</v>
      </c>
      <c r="AX64" s="53">
        <f t="shared" si="8"/>
        <v>-4.01882246701252E-2</v>
      </c>
      <c r="AY64" s="53">
        <f t="shared" si="8"/>
        <v>-2.7765837341530455E-2</v>
      </c>
      <c r="AZ64" s="53">
        <f t="shared" si="8"/>
        <v>-1.517622650418419E-2</v>
      </c>
      <c r="BA64" s="53">
        <f t="shared" si="8"/>
        <v>5.0237591864288335E-17</v>
      </c>
      <c r="BB64" s="53">
        <f t="shared" si="8"/>
        <v>5.0237591864288335E-17</v>
      </c>
      <c r="BC64" s="53">
        <f t="shared" si="8"/>
        <v>5.0237591864288335E-17</v>
      </c>
      <c r="BD64" s="53">
        <f t="shared" si="8"/>
        <v>5.0237591864288335E-17</v>
      </c>
    </row>
    <row r="65" spans="1:56" ht="12.75" customHeight="1" x14ac:dyDescent="0.3">
      <c r="A65" s="523"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524"/>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524"/>
      <c r="B67" s="9" t="s">
        <v>295</v>
      </c>
      <c r="C67" s="11"/>
      <c r="D67" s="11" t="s">
        <v>39</v>
      </c>
      <c r="E67" s="82">
        <f>-'Workings baseline 2015.16'!E59</f>
        <v>-0.2494090284090909</v>
      </c>
      <c r="F67" s="82">
        <f>-'Workings baseline 2016.17'!F80</f>
        <v>-3.8324985454545449E-2</v>
      </c>
      <c r="G67" s="82">
        <f>-'Workings baseline 2017.18'!F82</f>
        <v>-4.7722678181818176E-2</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524"/>
      <c r="B68" s="9" t="s">
        <v>296</v>
      </c>
      <c r="C68" s="9"/>
      <c r="D68" s="9" t="s">
        <v>39</v>
      </c>
      <c r="E68" s="82">
        <f>-'Workings baseline 2015.16'!E60</f>
        <v>-0.81055785818181814</v>
      </c>
      <c r="F68" s="82">
        <f>-'Workings baseline 2016.17'!F81</f>
        <v>-0.2267123890909091</v>
      </c>
      <c r="G68" s="82">
        <f>-'Workings baseline 2017.18'!F83</f>
        <v>-0.39319745399999995</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524"/>
      <c r="B69" s="4" t="s">
        <v>200</v>
      </c>
      <c r="D69" s="9" t="s">
        <v>39</v>
      </c>
      <c r="E69" s="35">
        <f>E90*'Fixed data'!H$5/1000000</f>
        <v>-4.9668065080534585E-3</v>
      </c>
      <c r="F69" s="35">
        <f>F90*'Fixed data'!I$5/1000000</f>
        <v>-4.6875305697710061E-3</v>
      </c>
      <c r="G69" s="35">
        <f>G90*'Fixed data'!J$5/1000000</f>
        <v>-6.6021315128681497E-3</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524"/>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524"/>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524"/>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524"/>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524"/>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524"/>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525"/>
      <c r="B76" s="13" t="s">
        <v>98</v>
      </c>
      <c r="C76" s="13"/>
      <c r="D76" s="13" t="s">
        <v>39</v>
      </c>
      <c r="E76" s="53">
        <f>SUM(E65:E75)</f>
        <v>-1.0649336930989626</v>
      </c>
      <c r="F76" s="53">
        <f t="shared" ref="F76:BD76" si="9">SUM(F65:F75)</f>
        <v>-0.26972490511522557</v>
      </c>
      <c r="G76" s="53">
        <f t="shared" si="9"/>
        <v>-0.44752226369468628</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-1.2896851965640321</v>
      </c>
      <c r="F77" s="54">
        <f>IF('Fixed data'!$G$19=FALSE,F64+F76,F64)</f>
        <v>-0.5380473915038646</v>
      </c>
      <c r="G77" s="54">
        <f>IF('Fixed data'!$G$19=FALSE,G64+G76,G64)</f>
        <v>-0.81105697730947135</v>
      </c>
      <c r="H77" s="54">
        <f>IF('Fixed data'!$G$19=FALSE,H64+H76,H64)</f>
        <v>-0.1036453843440287</v>
      </c>
      <c r="I77" s="54">
        <f>IF('Fixed data'!$G$19=FALSE,I64+I76,I64)</f>
        <v>-0.10213449958988814</v>
      </c>
      <c r="J77" s="54">
        <f>IF('Fixed data'!$G$19=FALSE,J64+J76,J64)</f>
        <v>-0.10062361483574758</v>
      </c>
      <c r="K77" s="54">
        <f>IF('Fixed data'!$G$19=FALSE,K64+K76,K64)</f>
        <v>-9.9112730081607023E-2</v>
      </c>
      <c r="L77" s="54">
        <f>IF('Fixed data'!$G$19=FALSE,L64+L76,L64)</f>
        <v>-9.7601845327466463E-2</v>
      </c>
      <c r="M77" s="54">
        <f>IF('Fixed data'!$G$19=FALSE,M64+M76,M64)</f>
        <v>-9.609096057332589E-2</v>
      </c>
      <c r="N77" s="54">
        <f>IF('Fixed data'!$G$19=FALSE,N64+N76,N64)</f>
        <v>-9.458007581918533E-2</v>
      </c>
      <c r="O77" s="54">
        <f>IF('Fixed data'!$G$19=FALSE,O64+O76,O64)</f>
        <v>-9.3069191065044771E-2</v>
      </c>
      <c r="P77" s="54">
        <f>IF('Fixed data'!$G$19=FALSE,P64+P76,P64)</f>
        <v>-9.1558306310904211E-2</v>
      </c>
      <c r="Q77" s="54">
        <f>IF('Fixed data'!$G$19=FALSE,Q64+Q76,Q64)</f>
        <v>-9.0047421556763652E-2</v>
      </c>
      <c r="R77" s="54">
        <f>IF('Fixed data'!$G$19=FALSE,R64+R76,R64)</f>
        <v>-8.8536536802623078E-2</v>
      </c>
      <c r="S77" s="54">
        <f>IF('Fixed data'!$G$19=FALSE,S64+S76,S64)</f>
        <v>-8.7025652048482519E-2</v>
      </c>
      <c r="T77" s="54">
        <f>IF('Fixed data'!$G$19=FALSE,T64+T76,T64)</f>
        <v>-8.5514767294341959E-2</v>
      </c>
      <c r="U77" s="54">
        <f>IF('Fixed data'!$G$19=FALSE,U64+U76,U64)</f>
        <v>-8.4003882540201399E-2</v>
      </c>
      <c r="V77" s="54">
        <f>IF('Fixed data'!$G$19=FALSE,V64+V76,V64)</f>
        <v>-8.249299778606084E-2</v>
      </c>
      <c r="W77" s="54">
        <f>IF('Fixed data'!$G$19=FALSE,W64+W76,W64)</f>
        <v>-8.0982113031920266E-2</v>
      </c>
      <c r="X77" s="54">
        <f>IF('Fixed data'!$G$19=FALSE,X64+X76,X64)</f>
        <v>-7.9471228277779707E-2</v>
      </c>
      <c r="Y77" s="54">
        <f>IF('Fixed data'!$G$19=FALSE,Y64+Y76,Y64)</f>
        <v>-7.7960343523639147E-2</v>
      </c>
      <c r="Z77" s="54">
        <f>IF('Fixed data'!$G$19=FALSE,Z64+Z76,Z64)</f>
        <v>-7.6449458769498602E-2</v>
      </c>
      <c r="AA77" s="54">
        <f>IF('Fixed data'!$G$19=FALSE,AA64+AA76,AA64)</f>
        <v>-7.4938574015358028E-2</v>
      </c>
      <c r="AB77" s="54">
        <f>IF('Fixed data'!$G$19=FALSE,AB64+AB76,AB64)</f>
        <v>-7.3427689261217483E-2</v>
      </c>
      <c r="AC77" s="54">
        <f>IF('Fixed data'!$G$19=FALSE,AC64+AC76,AC64)</f>
        <v>-7.1916804507076909E-2</v>
      </c>
      <c r="AD77" s="54">
        <f>IF('Fixed data'!$G$19=FALSE,AD64+AD76,AD64)</f>
        <v>-7.0405919752936363E-2</v>
      </c>
      <c r="AE77" s="54">
        <f>IF('Fixed data'!$G$19=FALSE,AE64+AE76,AE64)</f>
        <v>-6.8895034998795804E-2</v>
      </c>
      <c r="AF77" s="54">
        <f>IF('Fixed data'!$G$19=FALSE,AF64+AF76,AF64)</f>
        <v>-6.7384150244655244E-2</v>
      </c>
      <c r="AG77" s="54">
        <f>IF('Fixed data'!$G$19=FALSE,AG64+AG76,AG64)</f>
        <v>-6.5873265490514685E-2</v>
      </c>
      <c r="AH77" s="54">
        <f>IF('Fixed data'!$G$19=FALSE,AH64+AH76,AH64)</f>
        <v>-6.4362380736374125E-2</v>
      </c>
      <c r="AI77" s="54">
        <f>IF('Fixed data'!$G$19=FALSE,AI64+AI76,AI64)</f>
        <v>-6.2851495982233566E-2</v>
      </c>
      <c r="AJ77" s="54">
        <f>IF('Fixed data'!$G$19=FALSE,AJ64+AJ76,AJ64)</f>
        <v>-6.134061122809302E-2</v>
      </c>
      <c r="AK77" s="54">
        <f>IF('Fixed data'!$G$19=FALSE,AK64+AK76,AK64)</f>
        <v>-5.9829726473952453E-2</v>
      </c>
      <c r="AL77" s="54">
        <f>IF('Fixed data'!$G$19=FALSE,AL64+AL76,AL64)</f>
        <v>-5.8318841719811901E-2</v>
      </c>
      <c r="AM77" s="54">
        <f>IF('Fixed data'!$G$19=FALSE,AM64+AM76,AM64)</f>
        <v>-5.6807956965671341E-2</v>
      </c>
      <c r="AN77" s="54">
        <f>IF('Fixed data'!$G$19=FALSE,AN64+AN76,AN64)</f>
        <v>-5.5297072211530782E-2</v>
      </c>
      <c r="AO77" s="54">
        <f>IF('Fixed data'!$G$19=FALSE,AO64+AO76,AO64)</f>
        <v>-5.3786187457390222E-2</v>
      </c>
      <c r="AP77" s="54">
        <f>IF('Fixed data'!$G$19=FALSE,AP64+AP76,AP64)</f>
        <v>-5.2275302703249663E-2</v>
      </c>
      <c r="AQ77" s="54">
        <f>IF('Fixed data'!$G$19=FALSE,AQ64+AQ76,AQ64)</f>
        <v>-5.0764417949109103E-2</v>
      </c>
      <c r="AR77" s="54">
        <f>IF('Fixed data'!$G$19=FALSE,AR64+AR76,AR64)</f>
        <v>-4.925353319496855E-2</v>
      </c>
      <c r="AS77" s="54">
        <f>IF('Fixed data'!$G$19=FALSE,AS64+AS76,AS64)</f>
        <v>-4.7742648440827991E-2</v>
      </c>
      <c r="AT77" s="54">
        <f>IF('Fixed data'!$G$19=FALSE,AT64+AT76,AT64)</f>
        <v>-4.6231763686687431E-2</v>
      </c>
      <c r="AU77" s="54">
        <f>IF('Fixed data'!$G$19=FALSE,AU64+AU76,AU64)</f>
        <v>-4.4720878932546879E-2</v>
      </c>
      <c r="AV77" s="54">
        <f>IF('Fixed data'!$G$19=FALSE,AV64+AV76,AV64)</f>
        <v>-4.3209994178406319E-2</v>
      </c>
      <c r="AW77" s="54">
        <f>IF('Fixed data'!$G$19=FALSE,AW64+AW76,AW64)</f>
        <v>-4.169910942426576E-2</v>
      </c>
      <c r="AX77" s="54">
        <f>IF('Fixed data'!$G$19=FALSE,AX64+AX76,AX64)</f>
        <v>-4.01882246701252E-2</v>
      </c>
      <c r="AY77" s="54">
        <f>IF('Fixed data'!$G$19=FALSE,AY64+AY76,AY64)</f>
        <v>-2.7765837341530455E-2</v>
      </c>
      <c r="AZ77" s="54">
        <f>IF('Fixed data'!$G$19=FALSE,AZ64+AZ76,AZ64)</f>
        <v>-1.517622650418419E-2</v>
      </c>
      <c r="BA77" s="54">
        <f>IF('Fixed data'!$G$19=FALSE,BA64+BA76,BA64)</f>
        <v>5.0237591864288335E-17</v>
      </c>
      <c r="BB77" s="54">
        <f>IF('Fixed data'!$G$19=FALSE,BB64+BB76,BB64)</f>
        <v>5.0237591864288335E-17</v>
      </c>
      <c r="BC77" s="54">
        <f>IF('Fixed data'!$G$19=FALSE,BC64+BC76,BC64)</f>
        <v>5.0237591864288335E-17</v>
      </c>
      <c r="BD77" s="54">
        <f>IF('Fixed data'!$G$19=FALSE,BD64+BD76,BD64)</f>
        <v>5.0237591864288335E-17</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-1.2460726536850553</v>
      </c>
      <c r="F80" s="55">
        <f t="shared" ref="F80:BD80" si="10">F77*F78</f>
        <v>-0.50227299727308894</v>
      </c>
      <c r="G80" s="55">
        <f t="shared" si="10"/>
        <v>-0.73152692456543245</v>
      </c>
      <c r="H80" s="55">
        <f t="shared" si="10"/>
        <v>-9.0320964623435113E-2</v>
      </c>
      <c r="I80" s="55">
        <f t="shared" si="10"/>
        <v>-8.5994508065208752E-2</v>
      </c>
      <c r="J80" s="55">
        <f t="shared" si="10"/>
        <v>-8.1857375501455817E-2</v>
      </c>
      <c r="K80" s="55">
        <f t="shared" si="10"/>
        <v>-7.7901709932838362E-2</v>
      </c>
      <c r="L80" s="55">
        <f t="shared" si="10"/>
        <v>-7.4119969249709095E-2</v>
      </c>
      <c r="M80" s="55">
        <f t="shared" si="10"/>
        <v>-7.050491392010029E-2</v>
      </c>
      <c r="N80" s="55">
        <f t="shared" si="10"/>
        <v>-6.7049595150317179E-2</v>
      </c>
      <c r="O80" s="55">
        <f t="shared" si="10"/>
        <v>-6.3747343500250894E-2</v>
      </c>
      <c r="P80" s="55">
        <f t="shared" si="10"/>
        <v>-6.0591757936196561E-2</v>
      </c>
      <c r="Q80" s="55">
        <f t="shared" si="10"/>
        <v>-5.7576695304605484E-2</v>
      </c>
      <c r="R80" s="55">
        <f t="shared" si="10"/>
        <v>-5.4696260210821031E-2</v>
      </c>
      <c r="S80" s="55">
        <f t="shared" si="10"/>
        <v>-5.1944795287445757E-2</v>
      </c>
      <c r="T80" s="55">
        <f t="shared" si="10"/>
        <v>-4.9316871837561366E-2</v>
      </c>
      <c r="U80" s="55">
        <f t="shared" si="10"/>
        <v>-4.6807280838578519E-2</v>
      </c>
      <c r="V80" s="55">
        <f t="shared" si="10"/>
        <v>-4.4411024293025431E-2</v>
      </c>
      <c r="W80" s="55">
        <f t="shared" si="10"/>
        <v>-4.2123306913098665E-2</v>
      </c>
      <c r="X80" s="55">
        <f t="shared" si="10"/>
        <v>-3.9939528126293547E-2</v>
      </c>
      <c r="Y80" s="55">
        <f t="shared" si="10"/>
        <v>-3.7855274389907809E-2</v>
      </c>
      <c r="Z80" s="55">
        <f t="shared" si="10"/>
        <v>-3.5866311802670407E-2</v>
      </c>
      <c r="AA80" s="55">
        <f t="shared" si="10"/>
        <v>-3.3968579002189019E-2</v>
      </c>
      <c r="AB80" s="55">
        <f t="shared" si="10"/>
        <v>-3.2158180337334245E-2</v>
      </c>
      <c r="AC80" s="55">
        <f t="shared" si="10"/>
        <v>-3.0431379305087956E-2</v>
      </c>
      <c r="AD80" s="55">
        <f t="shared" si="10"/>
        <v>-2.8784592241777256E-2</v>
      </c>
      <c r="AE80" s="55">
        <f t="shared" si="10"/>
        <v>-2.7214382258994099E-2</v>
      </c>
      <c r="AF80" s="55">
        <f t="shared" si="10"/>
        <v>-2.5717453414866653E-2</v>
      </c>
      <c r="AG80" s="55">
        <f t="shared" si="10"/>
        <v>-2.4290645111699111E-2</v>
      </c>
      <c r="AH80" s="55">
        <f t="shared" si="10"/>
        <v>-2.2930926711335616E-2</v>
      </c>
      <c r="AI80" s="55">
        <f t="shared" si="10"/>
        <v>-2.5139790447036355E-2</v>
      </c>
      <c r="AJ80" s="55">
        <f t="shared" si="10"/>
        <v>-2.3820831036466299E-2</v>
      </c>
      <c r="AK80" s="55">
        <f t="shared" si="10"/>
        <v>-2.2557377215651063E-2</v>
      </c>
      <c r="AL80" s="55">
        <f t="shared" si="10"/>
        <v>-2.1347314570435382E-2</v>
      </c>
      <c r="AM80" s="55">
        <f t="shared" si="10"/>
        <v>-2.0188604769012929E-2</v>
      </c>
      <c r="AN80" s="55">
        <f t="shared" si="10"/>
        <v>-1.9079282923679188E-2</v>
      </c>
      <c r="AO80" s="55">
        <f t="shared" si="10"/>
        <v>-1.8017455041725146E-2</v>
      </c>
      <c r="AP80" s="55">
        <f t="shared" si="10"/>
        <v>-1.7001295562517303E-2</v>
      </c>
      <c r="AQ80" s="55">
        <f t="shared" si="10"/>
        <v>-1.6029044977906019E-2</v>
      </c>
      <c r="AR80" s="55">
        <f t="shared" si="10"/>
        <v>-1.5099007533197383E-2</v>
      </c>
      <c r="AS80" s="55">
        <f t="shared" si="10"/>
        <v>-1.4209549006014314E-2</v>
      </c>
      <c r="AT80" s="55">
        <f t="shared" si="10"/>
        <v>-1.3359094560460083E-2</v>
      </c>
      <c r="AU80" s="55">
        <f t="shared" si="10"/>
        <v>-1.2546126674081875E-2</v>
      </c>
      <c r="AV80" s="55">
        <f t="shared" si="10"/>
        <v>-1.1769183135214044E-2</v>
      </c>
      <c r="AW80" s="55">
        <f t="shared" si="10"/>
        <v>-1.1026855108359932E-2</v>
      </c>
      <c r="AX80" s="55">
        <f t="shared" si="10"/>
        <v>-1.031778526534774E-2</v>
      </c>
      <c r="AY80" s="55">
        <f t="shared" si="10"/>
        <v>-6.9208783243137686E-3</v>
      </c>
      <c r="AZ80" s="55">
        <f t="shared" si="10"/>
        <v>-3.6726286169422484E-3</v>
      </c>
      <c r="BA80" s="55">
        <f t="shared" si="10"/>
        <v>1.1803336887107284E-17</v>
      </c>
      <c r="BB80" s="55">
        <f t="shared" si="10"/>
        <v>1.1459550375832314E-17</v>
      </c>
      <c r="BC80" s="55">
        <f t="shared" si="10"/>
        <v>1.1125777063914868E-17</v>
      </c>
      <c r="BD80" s="55">
        <f t="shared" si="10"/>
        <v>1.0801725304771718E-17</v>
      </c>
    </row>
    <row r="81" spans="1:56" x14ac:dyDescent="0.3">
      <c r="A81" s="75"/>
      <c r="B81" s="15" t="s">
        <v>18</v>
      </c>
      <c r="C81" s="15"/>
      <c r="D81" s="14" t="s">
        <v>39</v>
      </c>
      <c r="E81" s="56">
        <f>+E80</f>
        <v>-1.2460726536850553</v>
      </c>
      <c r="F81" s="56">
        <f t="shared" ref="F81:BD81" si="11">+E81+F80</f>
        <v>-1.7483456509581443</v>
      </c>
      <c r="G81" s="56">
        <f t="shared" si="11"/>
        <v>-2.4798725755235766</v>
      </c>
      <c r="H81" s="56">
        <f t="shared" si="11"/>
        <v>-2.5701935401470117</v>
      </c>
      <c r="I81" s="56">
        <f t="shared" si="11"/>
        <v>-2.6561880482122207</v>
      </c>
      <c r="J81" s="56">
        <f t="shared" si="11"/>
        <v>-2.7380454237136767</v>
      </c>
      <c r="K81" s="56">
        <f t="shared" si="11"/>
        <v>-2.8159471336465152</v>
      </c>
      <c r="L81" s="56">
        <f t="shared" si="11"/>
        <v>-2.8900671028962241</v>
      </c>
      <c r="M81" s="56">
        <f t="shared" si="11"/>
        <v>-2.9605720168163243</v>
      </c>
      <c r="N81" s="56">
        <f t="shared" si="11"/>
        <v>-3.0276216119666417</v>
      </c>
      <c r="O81" s="56">
        <f t="shared" si="11"/>
        <v>-3.0913689554668924</v>
      </c>
      <c r="P81" s="56">
        <f t="shared" si="11"/>
        <v>-3.1519607134030889</v>
      </c>
      <c r="Q81" s="56">
        <f t="shared" si="11"/>
        <v>-3.2095374087076944</v>
      </c>
      <c r="R81" s="56">
        <f t="shared" si="11"/>
        <v>-3.2642336689185156</v>
      </c>
      <c r="S81" s="56">
        <f t="shared" si="11"/>
        <v>-3.3161784642059615</v>
      </c>
      <c r="T81" s="56">
        <f t="shared" si="11"/>
        <v>-3.3654953360435229</v>
      </c>
      <c r="U81" s="56">
        <f t="shared" si="11"/>
        <v>-3.4123026168821013</v>
      </c>
      <c r="V81" s="56">
        <f t="shared" si="11"/>
        <v>-3.4567136411751269</v>
      </c>
      <c r="W81" s="56">
        <f t="shared" si="11"/>
        <v>-3.4988369480882255</v>
      </c>
      <c r="X81" s="56">
        <f t="shared" si="11"/>
        <v>-3.5387764762145193</v>
      </c>
      <c r="Y81" s="56">
        <f t="shared" si="11"/>
        <v>-3.576631750604427</v>
      </c>
      <c r="Z81" s="56">
        <f t="shared" si="11"/>
        <v>-3.6124980624070973</v>
      </c>
      <c r="AA81" s="56">
        <f t="shared" si="11"/>
        <v>-3.6464666414092863</v>
      </c>
      <c r="AB81" s="56">
        <f t="shared" si="11"/>
        <v>-3.6786248217466206</v>
      </c>
      <c r="AC81" s="56">
        <f t="shared" si="11"/>
        <v>-3.7090562010517085</v>
      </c>
      <c r="AD81" s="56">
        <f t="shared" si="11"/>
        <v>-3.7378407932934858</v>
      </c>
      <c r="AE81" s="56">
        <f t="shared" si="11"/>
        <v>-3.7650551755524799</v>
      </c>
      <c r="AF81" s="56">
        <f t="shared" si="11"/>
        <v>-3.7907726289673467</v>
      </c>
      <c r="AG81" s="56">
        <f t="shared" si="11"/>
        <v>-3.815063274079046</v>
      </c>
      <c r="AH81" s="56">
        <f t="shared" si="11"/>
        <v>-3.8379942007903818</v>
      </c>
      <c r="AI81" s="56">
        <f t="shared" si="11"/>
        <v>-3.8631339912374183</v>
      </c>
      <c r="AJ81" s="56">
        <f t="shared" si="11"/>
        <v>-3.8869548222738848</v>
      </c>
      <c r="AK81" s="56">
        <f t="shared" si="11"/>
        <v>-3.9095121994895359</v>
      </c>
      <c r="AL81" s="56">
        <f t="shared" si="11"/>
        <v>-3.9308595140599714</v>
      </c>
      <c r="AM81" s="56">
        <f t="shared" si="11"/>
        <v>-3.9510481188289841</v>
      </c>
      <c r="AN81" s="56">
        <f t="shared" si="11"/>
        <v>-3.9701274017526633</v>
      </c>
      <c r="AO81" s="56">
        <f t="shared" si="11"/>
        <v>-3.9881448567943885</v>
      </c>
      <c r="AP81" s="56">
        <f t="shared" si="11"/>
        <v>-4.0051461523569056</v>
      </c>
      <c r="AQ81" s="56">
        <f t="shared" si="11"/>
        <v>-4.021175197334812</v>
      </c>
      <c r="AR81" s="56">
        <f t="shared" si="11"/>
        <v>-4.0362742048680094</v>
      </c>
      <c r="AS81" s="56">
        <f t="shared" si="11"/>
        <v>-4.0504837538740235</v>
      </c>
      <c r="AT81" s="56">
        <f t="shared" si="11"/>
        <v>-4.0638428484344837</v>
      </c>
      <c r="AU81" s="56">
        <f t="shared" si="11"/>
        <v>-4.076388975108566</v>
      </c>
      <c r="AV81" s="56">
        <f t="shared" si="11"/>
        <v>-4.0881581582437798</v>
      </c>
      <c r="AW81" s="56">
        <f t="shared" si="11"/>
        <v>-4.0991850133521401</v>
      </c>
      <c r="AX81" s="56">
        <f t="shared" si="11"/>
        <v>-4.1095027986174877</v>
      </c>
      <c r="AY81" s="56">
        <f t="shared" si="11"/>
        <v>-4.1164236769418014</v>
      </c>
      <c r="AZ81" s="56">
        <f t="shared" si="11"/>
        <v>-4.1200963055587438</v>
      </c>
      <c r="BA81" s="56">
        <f t="shared" si="11"/>
        <v>-4.1200963055587438</v>
      </c>
      <c r="BB81" s="56">
        <f t="shared" si="11"/>
        <v>-4.1200963055587438</v>
      </c>
      <c r="BC81" s="56">
        <f t="shared" si="11"/>
        <v>-4.1200963055587438</v>
      </c>
      <c r="BD81" s="56">
        <f t="shared" si="11"/>
        <v>-4.1200963055587438</v>
      </c>
    </row>
    <row r="82" spans="1:56" x14ac:dyDescent="0.3">
      <c r="A82" s="75"/>
      <c r="B82" s="14"/>
    </row>
    <row r="83" spans="1:56" x14ac:dyDescent="0.3">
      <c r="A83" s="7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315</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526"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526"/>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526"/>
      <c r="B88" s="4" t="s">
        <v>211</v>
      </c>
      <c r="D88" s="4" t="s">
        <v>206</v>
      </c>
      <c r="E88" s="44">
        <f>-'Workings baseline 2015.16'!E61</f>
        <v>-36182.122727272726</v>
      </c>
      <c r="F88" s="44">
        <f>-'Workings baseline 2016.17'!F82</f>
        <v>-5199.636363636364</v>
      </c>
      <c r="G88" s="44">
        <f>-'Workings baseline 2017.18'!F84</f>
        <v>-6368.2727272727279</v>
      </c>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526"/>
      <c r="B89" s="4" t="s">
        <v>212</v>
      </c>
      <c r="D89" s="4" t="s">
        <v>86</v>
      </c>
      <c r="E89" s="44">
        <f>-'Workings baseline 2015.16'!E62</f>
        <v>-5472653.4545454551</v>
      </c>
      <c r="F89" s="44">
        <f>-'Workings baseline 2016.17'!F83</f>
        <v>-1302710.7272727273</v>
      </c>
      <c r="G89" s="44">
        <f>-'Workings baseline 2017.18'!F85</f>
        <v>-2174333.4545454551</v>
      </c>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526"/>
      <c r="B90" s="4" t="s">
        <v>325</v>
      </c>
      <c r="D90" s="4" t="s">
        <v>87</v>
      </c>
      <c r="E90" s="38">
        <f>-'Workings baseline 2015.16'!E63</f>
        <v>-680.08190064431994</v>
      </c>
      <c r="F90" s="38">
        <f>-'Workings baseline 2016.17'!F84</f>
        <v>-611.10584220740577</v>
      </c>
      <c r="G90" s="38">
        <f>-'Workings baseline 2017.18'!F86</f>
        <v>-809.408742304768</v>
      </c>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526"/>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526"/>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526"/>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328</v>
      </c>
    </row>
    <row r="97" spans="1:3" x14ac:dyDescent="0.3">
      <c r="B97" s="70" t="s">
        <v>152</v>
      </c>
    </row>
    <row r="98" spans="1:3" x14ac:dyDescent="0.3">
      <c r="B98" s="4" t="s">
        <v>312</v>
      </c>
    </row>
    <row r="99" spans="1:3" x14ac:dyDescent="0.3">
      <c r="B99" s="4" t="s">
        <v>329</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tabSelected="1" view="pageBreakPreview" zoomScale="85" zoomScaleNormal="80" zoomScaleSheetLayoutView="85" workbookViewId="0">
      <pane xSplit="2" ySplit="12" topLeftCell="C84" activePane="bottomRight" state="frozen"/>
      <selection activeCell="B5" sqref="B5:F5"/>
      <selection pane="topRight" activeCell="B5" sqref="B5:F5"/>
      <selection pane="bottomLeft" activeCell="B5" sqref="B5:F5"/>
      <selection pane="bottomRight" activeCell="G90" sqref="G90"/>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340</v>
      </c>
      <c r="C1" s="3" t="s">
        <v>339</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-1.0403166901909422</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-1.2343470479023735</v>
      </c>
      <c r="D5" s="18"/>
      <c r="E5" s="63"/>
      <c r="F5" s="9"/>
      <c r="G5" s="9"/>
      <c r="T5" s="55"/>
      <c r="AQ5" s="22"/>
      <c r="AR5" s="22"/>
      <c r="AS5" s="22"/>
      <c r="AT5" s="22"/>
      <c r="AU5" s="22"/>
      <c r="AV5" s="22"/>
      <c r="AW5" s="22"/>
      <c r="AX5" s="22"/>
      <c r="AY5" s="22"/>
      <c r="AZ5" s="22"/>
      <c r="BA5" s="22"/>
      <c r="BB5" s="22"/>
      <c r="BC5" s="22"/>
      <c r="BD5" s="22"/>
    </row>
    <row r="6" spans="1:56" x14ac:dyDescent="0.3">
      <c r="B6" s="48">
        <v>32</v>
      </c>
      <c r="C6" s="45">
        <f>INDEX($E$81:$BD$81,1,$C$9+$B6-1)</f>
        <v>-1.3634575102540383</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-1.4950223024295952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518" t="s">
        <v>11</v>
      </c>
      <c r="B13" s="61" t="s">
        <v>174</v>
      </c>
      <c r="C13" s="60"/>
      <c r="D13" s="61" t="s">
        <v>39</v>
      </c>
      <c r="E13" s="62">
        <f>-'Workings template 2015.16'!D50</f>
        <v>-0.256409</v>
      </c>
      <c r="F13" s="62">
        <f>-'Workings template 2016.17'!E80</f>
        <v>-0.77856499999999995</v>
      </c>
      <c r="G13" s="62">
        <f>-'Workings template 2017.18'!E82</f>
        <v>-0.46845709999999996</v>
      </c>
      <c r="H13" s="62"/>
      <c r="I13" s="62"/>
      <c r="J13" s="62"/>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519"/>
      <c r="B14" s="61" t="s">
        <v>195</v>
      </c>
      <c r="C14" s="60"/>
      <c r="D14" s="61" t="s">
        <v>39</v>
      </c>
      <c r="E14" s="62"/>
      <c r="F14" s="62"/>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519"/>
      <c r="B15" s="61" t="s">
        <v>195</v>
      </c>
      <c r="C15" s="60"/>
      <c r="D15" s="61" t="s">
        <v>39</v>
      </c>
      <c r="E15" s="62"/>
      <c r="F15" s="62"/>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519"/>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519"/>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520"/>
      <c r="B18" s="123" t="s">
        <v>194</v>
      </c>
      <c r="C18" s="128"/>
      <c r="D18" s="124" t="s">
        <v>39</v>
      </c>
      <c r="E18" s="59">
        <f>SUM(E13:E17)</f>
        <v>-0.256409</v>
      </c>
      <c r="F18" s="59">
        <f t="shared" ref="F18:AW18" si="0">SUM(F13:F17)</f>
        <v>-0.77856499999999995</v>
      </c>
      <c r="G18" s="59">
        <f t="shared" si="0"/>
        <v>-0.46845709999999996</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521" t="s">
        <v>298</v>
      </c>
      <c r="B19" s="61" t="s">
        <v>174</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521"/>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521"/>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521"/>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521"/>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521"/>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522"/>
      <c r="B25" s="61" t="s">
        <v>314</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39</v>
      </c>
      <c r="E26" s="59">
        <f>E18+E25</f>
        <v>-0.256409</v>
      </c>
      <c r="F26" s="59">
        <f t="shared" ref="F26:BD26" si="2">F18+F25</f>
        <v>-0.77856499999999995</v>
      </c>
      <c r="G26" s="59">
        <f t="shared" si="2"/>
        <v>-0.46845709999999996</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-0.17948629999999999</v>
      </c>
      <c r="F28" s="35">
        <f t="shared" ref="F28:AW28" si="3">F26*F27</f>
        <v>-0.54499549999999997</v>
      </c>
      <c r="G28" s="35">
        <f t="shared" si="3"/>
        <v>-0.32791996999999995</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43</v>
      </c>
      <c r="D29" s="9" t="s">
        <v>39</v>
      </c>
      <c r="E29" s="35">
        <f>E26-E28</f>
        <v>-7.6922700000000011E-2</v>
      </c>
      <c r="F29" s="35">
        <f t="shared" ref="F29:AW29" si="4">F26-F28</f>
        <v>-0.23356949999999999</v>
      </c>
      <c r="G29" s="35">
        <f t="shared" si="4"/>
        <v>-0.14053713000000001</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-3.9885844444444438E-3</v>
      </c>
      <c r="G30" s="35">
        <f>$E$28/'Fixed data'!$C$7</f>
        <v>-3.9885844444444438E-3</v>
      </c>
      <c r="H30" s="35">
        <f>$E$28/'Fixed data'!$C$7</f>
        <v>-3.9885844444444438E-3</v>
      </c>
      <c r="I30" s="35">
        <f>$E$28/'Fixed data'!$C$7</f>
        <v>-3.9885844444444438E-3</v>
      </c>
      <c r="J30" s="35">
        <f>$E$28/'Fixed data'!$C$7</f>
        <v>-3.9885844444444438E-3</v>
      </c>
      <c r="K30" s="35">
        <f>$E$28/'Fixed data'!$C$7</f>
        <v>-3.9885844444444438E-3</v>
      </c>
      <c r="L30" s="35">
        <f>$E$28/'Fixed data'!$C$7</f>
        <v>-3.9885844444444438E-3</v>
      </c>
      <c r="M30" s="35">
        <f>$E$28/'Fixed data'!$C$7</f>
        <v>-3.9885844444444438E-3</v>
      </c>
      <c r="N30" s="35">
        <f>$E$28/'Fixed data'!$C$7</f>
        <v>-3.9885844444444438E-3</v>
      </c>
      <c r="O30" s="35">
        <f>$E$28/'Fixed data'!$C$7</f>
        <v>-3.9885844444444438E-3</v>
      </c>
      <c r="P30" s="35">
        <f>$E$28/'Fixed data'!$C$7</f>
        <v>-3.9885844444444438E-3</v>
      </c>
      <c r="Q30" s="35">
        <f>$E$28/'Fixed data'!$C$7</f>
        <v>-3.9885844444444438E-3</v>
      </c>
      <c r="R30" s="35">
        <f>$E$28/'Fixed data'!$C$7</f>
        <v>-3.9885844444444438E-3</v>
      </c>
      <c r="S30" s="35">
        <f>$E$28/'Fixed data'!$C$7</f>
        <v>-3.9885844444444438E-3</v>
      </c>
      <c r="T30" s="35">
        <f>$E$28/'Fixed data'!$C$7</f>
        <v>-3.9885844444444438E-3</v>
      </c>
      <c r="U30" s="35">
        <f>$E$28/'Fixed data'!$C$7</f>
        <v>-3.9885844444444438E-3</v>
      </c>
      <c r="V30" s="35">
        <f>$E$28/'Fixed data'!$C$7</f>
        <v>-3.9885844444444438E-3</v>
      </c>
      <c r="W30" s="35">
        <f>$E$28/'Fixed data'!$C$7</f>
        <v>-3.9885844444444438E-3</v>
      </c>
      <c r="X30" s="35">
        <f>$E$28/'Fixed data'!$C$7</f>
        <v>-3.9885844444444438E-3</v>
      </c>
      <c r="Y30" s="35">
        <f>$E$28/'Fixed data'!$C$7</f>
        <v>-3.9885844444444438E-3</v>
      </c>
      <c r="Z30" s="35">
        <f>$E$28/'Fixed data'!$C$7</f>
        <v>-3.9885844444444438E-3</v>
      </c>
      <c r="AA30" s="35">
        <f>$E$28/'Fixed data'!$C$7</f>
        <v>-3.9885844444444438E-3</v>
      </c>
      <c r="AB30" s="35">
        <f>$E$28/'Fixed data'!$C$7</f>
        <v>-3.9885844444444438E-3</v>
      </c>
      <c r="AC30" s="35">
        <f>$E$28/'Fixed data'!$C$7</f>
        <v>-3.9885844444444438E-3</v>
      </c>
      <c r="AD30" s="35">
        <f>$E$28/'Fixed data'!$C$7</f>
        <v>-3.9885844444444438E-3</v>
      </c>
      <c r="AE30" s="35">
        <f>$E$28/'Fixed data'!$C$7</f>
        <v>-3.9885844444444438E-3</v>
      </c>
      <c r="AF30" s="35">
        <f>$E$28/'Fixed data'!$C$7</f>
        <v>-3.9885844444444438E-3</v>
      </c>
      <c r="AG30" s="35">
        <f>$E$28/'Fixed data'!$C$7</f>
        <v>-3.9885844444444438E-3</v>
      </c>
      <c r="AH30" s="35">
        <f>$E$28/'Fixed data'!$C$7</f>
        <v>-3.9885844444444438E-3</v>
      </c>
      <c r="AI30" s="35">
        <f>$E$28/'Fixed data'!$C$7</f>
        <v>-3.9885844444444438E-3</v>
      </c>
      <c r="AJ30" s="35">
        <f>$E$28/'Fixed data'!$C$7</f>
        <v>-3.9885844444444438E-3</v>
      </c>
      <c r="AK30" s="35">
        <f>$E$28/'Fixed data'!$C$7</f>
        <v>-3.9885844444444438E-3</v>
      </c>
      <c r="AL30" s="35">
        <f>$E$28/'Fixed data'!$C$7</f>
        <v>-3.9885844444444438E-3</v>
      </c>
      <c r="AM30" s="35">
        <f>$E$28/'Fixed data'!$C$7</f>
        <v>-3.9885844444444438E-3</v>
      </c>
      <c r="AN30" s="35">
        <f>$E$28/'Fixed data'!$C$7</f>
        <v>-3.9885844444444438E-3</v>
      </c>
      <c r="AO30" s="35">
        <f>$E$28/'Fixed data'!$C$7</f>
        <v>-3.9885844444444438E-3</v>
      </c>
      <c r="AP30" s="35">
        <f>$E$28/'Fixed data'!$C$7</f>
        <v>-3.9885844444444438E-3</v>
      </c>
      <c r="AQ30" s="35">
        <f>$E$28/'Fixed data'!$C$7</f>
        <v>-3.9885844444444438E-3</v>
      </c>
      <c r="AR30" s="35">
        <f>$E$28/'Fixed data'!$C$7</f>
        <v>-3.9885844444444438E-3</v>
      </c>
      <c r="AS30" s="35">
        <f>$E$28/'Fixed data'!$C$7</f>
        <v>-3.9885844444444438E-3</v>
      </c>
      <c r="AT30" s="35">
        <f>$E$28/'Fixed data'!$C$7</f>
        <v>-3.9885844444444438E-3</v>
      </c>
      <c r="AU30" s="35">
        <f>$E$28/'Fixed data'!$C$7</f>
        <v>-3.9885844444444438E-3</v>
      </c>
      <c r="AV30" s="35">
        <f>$E$28/'Fixed data'!$C$7</f>
        <v>-3.9885844444444438E-3</v>
      </c>
      <c r="AW30" s="35">
        <f>$E$28/'Fixed data'!$C$7</f>
        <v>-3.9885844444444438E-3</v>
      </c>
      <c r="AX30" s="35">
        <f>$E$28/'Fixed data'!$C$7</f>
        <v>-3.9885844444444438E-3</v>
      </c>
      <c r="AY30" s="35"/>
      <c r="AZ30" s="35"/>
      <c r="BA30" s="35"/>
      <c r="BB30" s="35"/>
      <c r="BC30" s="35"/>
      <c r="BD30" s="35"/>
    </row>
    <row r="31" spans="1:56" ht="16.5" hidden="1" customHeight="1" outlineLevel="1" x14ac:dyDescent="0.35">
      <c r="A31" s="114"/>
      <c r="B31" s="9" t="s">
        <v>2</v>
      </c>
      <c r="C31" s="11" t="s">
        <v>52</v>
      </c>
      <c r="D31" s="9" t="s">
        <v>39</v>
      </c>
      <c r="F31" s="35"/>
      <c r="G31" s="35">
        <f>$F$28/'Fixed data'!$C$7</f>
        <v>-1.211101111111111E-2</v>
      </c>
      <c r="H31" s="35">
        <f>$F$28/'Fixed data'!$C$7</f>
        <v>-1.211101111111111E-2</v>
      </c>
      <c r="I31" s="35">
        <f>$F$28/'Fixed data'!$C$7</f>
        <v>-1.211101111111111E-2</v>
      </c>
      <c r="J31" s="35">
        <f>$F$28/'Fixed data'!$C$7</f>
        <v>-1.211101111111111E-2</v>
      </c>
      <c r="K31" s="35">
        <f>$F$28/'Fixed data'!$C$7</f>
        <v>-1.211101111111111E-2</v>
      </c>
      <c r="L31" s="35">
        <f>$F$28/'Fixed data'!$C$7</f>
        <v>-1.211101111111111E-2</v>
      </c>
      <c r="M31" s="35">
        <f>$F$28/'Fixed data'!$C$7</f>
        <v>-1.211101111111111E-2</v>
      </c>
      <c r="N31" s="35">
        <f>$F$28/'Fixed data'!$C$7</f>
        <v>-1.211101111111111E-2</v>
      </c>
      <c r="O31" s="35">
        <f>$F$28/'Fixed data'!$C$7</f>
        <v>-1.211101111111111E-2</v>
      </c>
      <c r="P31" s="35">
        <f>$F$28/'Fixed data'!$C$7</f>
        <v>-1.211101111111111E-2</v>
      </c>
      <c r="Q31" s="35">
        <f>$F$28/'Fixed data'!$C$7</f>
        <v>-1.211101111111111E-2</v>
      </c>
      <c r="R31" s="35">
        <f>$F$28/'Fixed data'!$C$7</f>
        <v>-1.211101111111111E-2</v>
      </c>
      <c r="S31" s="35">
        <f>$F$28/'Fixed data'!$C$7</f>
        <v>-1.211101111111111E-2</v>
      </c>
      <c r="T31" s="35">
        <f>$F$28/'Fixed data'!$C$7</f>
        <v>-1.211101111111111E-2</v>
      </c>
      <c r="U31" s="35">
        <f>$F$28/'Fixed data'!$C$7</f>
        <v>-1.211101111111111E-2</v>
      </c>
      <c r="V31" s="35">
        <f>$F$28/'Fixed data'!$C$7</f>
        <v>-1.211101111111111E-2</v>
      </c>
      <c r="W31" s="35">
        <f>$F$28/'Fixed data'!$C$7</f>
        <v>-1.211101111111111E-2</v>
      </c>
      <c r="X31" s="35">
        <f>$F$28/'Fixed data'!$C$7</f>
        <v>-1.211101111111111E-2</v>
      </c>
      <c r="Y31" s="35">
        <f>$F$28/'Fixed data'!$C$7</f>
        <v>-1.211101111111111E-2</v>
      </c>
      <c r="Z31" s="35">
        <f>$F$28/'Fixed data'!$C$7</f>
        <v>-1.211101111111111E-2</v>
      </c>
      <c r="AA31" s="35">
        <f>$F$28/'Fixed data'!$C$7</f>
        <v>-1.211101111111111E-2</v>
      </c>
      <c r="AB31" s="35">
        <f>$F$28/'Fixed data'!$C$7</f>
        <v>-1.211101111111111E-2</v>
      </c>
      <c r="AC31" s="35">
        <f>$F$28/'Fixed data'!$C$7</f>
        <v>-1.211101111111111E-2</v>
      </c>
      <c r="AD31" s="35">
        <f>$F$28/'Fixed data'!$C$7</f>
        <v>-1.211101111111111E-2</v>
      </c>
      <c r="AE31" s="35">
        <f>$F$28/'Fixed data'!$C$7</f>
        <v>-1.211101111111111E-2</v>
      </c>
      <c r="AF31" s="35">
        <f>$F$28/'Fixed data'!$C$7</f>
        <v>-1.211101111111111E-2</v>
      </c>
      <c r="AG31" s="35">
        <f>$F$28/'Fixed data'!$C$7</f>
        <v>-1.211101111111111E-2</v>
      </c>
      <c r="AH31" s="35">
        <f>$F$28/'Fixed data'!$C$7</f>
        <v>-1.211101111111111E-2</v>
      </c>
      <c r="AI31" s="35">
        <f>$F$28/'Fixed data'!$C$7</f>
        <v>-1.211101111111111E-2</v>
      </c>
      <c r="AJ31" s="35">
        <f>$F$28/'Fixed data'!$C$7</f>
        <v>-1.211101111111111E-2</v>
      </c>
      <c r="AK31" s="35">
        <f>$F$28/'Fixed data'!$C$7</f>
        <v>-1.211101111111111E-2</v>
      </c>
      <c r="AL31" s="35">
        <f>$F$28/'Fixed data'!$C$7</f>
        <v>-1.211101111111111E-2</v>
      </c>
      <c r="AM31" s="35">
        <f>$F$28/'Fixed data'!$C$7</f>
        <v>-1.211101111111111E-2</v>
      </c>
      <c r="AN31" s="35">
        <f>$F$28/'Fixed data'!$C$7</f>
        <v>-1.211101111111111E-2</v>
      </c>
      <c r="AO31" s="35">
        <f>$F$28/'Fixed data'!$C$7</f>
        <v>-1.211101111111111E-2</v>
      </c>
      <c r="AP31" s="35">
        <f>$F$28/'Fixed data'!$C$7</f>
        <v>-1.211101111111111E-2</v>
      </c>
      <c r="AQ31" s="35">
        <f>$F$28/'Fixed data'!$C$7</f>
        <v>-1.211101111111111E-2</v>
      </c>
      <c r="AR31" s="35">
        <f>$F$28/'Fixed data'!$C$7</f>
        <v>-1.211101111111111E-2</v>
      </c>
      <c r="AS31" s="35">
        <f>$F$28/'Fixed data'!$C$7</f>
        <v>-1.211101111111111E-2</v>
      </c>
      <c r="AT31" s="35">
        <f>$F$28/'Fixed data'!$C$7</f>
        <v>-1.211101111111111E-2</v>
      </c>
      <c r="AU31" s="35">
        <f>$F$28/'Fixed data'!$C$7</f>
        <v>-1.211101111111111E-2</v>
      </c>
      <c r="AV31" s="35">
        <f>$F$28/'Fixed data'!$C$7</f>
        <v>-1.211101111111111E-2</v>
      </c>
      <c r="AW31" s="35">
        <f>$F$28/'Fixed data'!$C$7</f>
        <v>-1.211101111111111E-2</v>
      </c>
      <c r="AX31" s="35">
        <f>$F$28/'Fixed data'!$C$7</f>
        <v>-1.211101111111111E-2</v>
      </c>
      <c r="AY31" s="35">
        <f>$F$28/'Fixed data'!$C$7</f>
        <v>-1.211101111111111E-2</v>
      </c>
      <c r="AZ31" s="35"/>
      <c r="BA31" s="35"/>
      <c r="BB31" s="35"/>
      <c r="BC31" s="35"/>
      <c r="BD31" s="35"/>
    </row>
    <row r="32" spans="1:56" ht="16.5" hidden="1" customHeight="1" outlineLevel="1" x14ac:dyDescent="0.35">
      <c r="A32" s="114"/>
      <c r="B32" s="9" t="s">
        <v>3</v>
      </c>
      <c r="C32" s="11" t="s">
        <v>53</v>
      </c>
      <c r="D32" s="9" t="s">
        <v>39</v>
      </c>
      <c r="F32" s="35"/>
      <c r="G32" s="35"/>
      <c r="H32" s="35">
        <f>$G$28/'Fixed data'!$C$7</f>
        <v>-7.2871104444444433E-3</v>
      </c>
      <c r="I32" s="35">
        <f>$G$28/'Fixed data'!$C$7</f>
        <v>-7.2871104444444433E-3</v>
      </c>
      <c r="J32" s="35">
        <f>$G$28/'Fixed data'!$C$7</f>
        <v>-7.2871104444444433E-3</v>
      </c>
      <c r="K32" s="35">
        <f>$G$28/'Fixed data'!$C$7</f>
        <v>-7.2871104444444433E-3</v>
      </c>
      <c r="L32" s="35">
        <f>$G$28/'Fixed data'!$C$7</f>
        <v>-7.2871104444444433E-3</v>
      </c>
      <c r="M32" s="35">
        <f>$G$28/'Fixed data'!$C$7</f>
        <v>-7.2871104444444433E-3</v>
      </c>
      <c r="N32" s="35">
        <f>$G$28/'Fixed data'!$C$7</f>
        <v>-7.2871104444444433E-3</v>
      </c>
      <c r="O32" s="35">
        <f>$G$28/'Fixed data'!$C$7</f>
        <v>-7.2871104444444433E-3</v>
      </c>
      <c r="P32" s="35">
        <f>$G$28/'Fixed data'!$C$7</f>
        <v>-7.2871104444444433E-3</v>
      </c>
      <c r="Q32" s="35">
        <f>$G$28/'Fixed data'!$C$7</f>
        <v>-7.2871104444444433E-3</v>
      </c>
      <c r="R32" s="35">
        <f>$G$28/'Fixed data'!$C$7</f>
        <v>-7.2871104444444433E-3</v>
      </c>
      <c r="S32" s="35">
        <f>$G$28/'Fixed data'!$C$7</f>
        <v>-7.2871104444444433E-3</v>
      </c>
      <c r="T32" s="35">
        <f>$G$28/'Fixed data'!$C$7</f>
        <v>-7.2871104444444433E-3</v>
      </c>
      <c r="U32" s="35">
        <f>$G$28/'Fixed data'!$C$7</f>
        <v>-7.2871104444444433E-3</v>
      </c>
      <c r="V32" s="35">
        <f>$G$28/'Fixed data'!$C$7</f>
        <v>-7.2871104444444433E-3</v>
      </c>
      <c r="W32" s="35">
        <f>$G$28/'Fixed data'!$C$7</f>
        <v>-7.2871104444444433E-3</v>
      </c>
      <c r="X32" s="35">
        <f>$G$28/'Fixed data'!$C$7</f>
        <v>-7.2871104444444433E-3</v>
      </c>
      <c r="Y32" s="35">
        <f>$G$28/'Fixed data'!$C$7</f>
        <v>-7.2871104444444433E-3</v>
      </c>
      <c r="Z32" s="35">
        <f>$G$28/'Fixed data'!$C$7</f>
        <v>-7.2871104444444433E-3</v>
      </c>
      <c r="AA32" s="35">
        <f>$G$28/'Fixed data'!$C$7</f>
        <v>-7.2871104444444433E-3</v>
      </c>
      <c r="AB32" s="35">
        <f>$G$28/'Fixed data'!$C$7</f>
        <v>-7.2871104444444433E-3</v>
      </c>
      <c r="AC32" s="35">
        <f>$G$28/'Fixed data'!$C$7</f>
        <v>-7.2871104444444433E-3</v>
      </c>
      <c r="AD32" s="35">
        <f>$G$28/'Fixed data'!$C$7</f>
        <v>-7.2871104444444433E-3</v>
      </c>
      <c r="AE32" s="35">
        <f>$G$28/'Fixed data'!$C$7</f>
        <v>-7.2871104444444433E-3</v>
      </c>
      <c r="AF32" s="35">
        <f>$G$28/'Fixed data'!$C$7</f>
        <v>-7.2871104444444433E-3</v>
      </c>
      <c r="AG32" s="35">
        <f>$G$28/'Fixed data'!$C$7</f>
        <v>-7.2871104444444433E-3</v>
      </c>
      <c r="AH32" s="35">
        <f>$G$28/'Fixed data'!$C$7</f>
        <v>-7.2871104444444433E-3</v>
      </c>
      <c r="AI32" s="35">
        <f>$G$28/'Fixed data'!$C$7</f>
        <v>-7.2871104444444433E-3</v>
      </c>
      <c r="AJ32" s="35">
        <f>$G$28/'Fixed data'!$C$7</f>
        <v>-7.2871104444444433E-3</v>
      </c>
      <c r="AK32" s="35">
        <f>$G$28/'Fixed data'!$C$7</f>
        <v>-7.2871104444444433E-3</v>
      </c>
      <c r="AL32" s="35">
        <f>$G$28/'Fixed data'!$C$7</f>
        <v>-7.2871104444444433E-3</v>
      </c>
      <c r="AM32" s="35">
        <f>$G$28/'Fixed data'!$C$7</f>
        <v>-7.2871104444444433E-3</v>
      </c>
      <c r="AN32" s="35">
        <f>$G$28/'Fixed data'!$C$7</f>
        <v>-7.2871104444444433E-3</v>
      </c>
      <c r="AO32" s="35">
        <f>$G$28/'Fixed data'!$C$7</f>
        <v>-7.2871104444444433E-3</v>
      </c>
      <c r="AP32" s="35">
        <f>$G$28/'Fixed data'!$C$7</f>
        <v>-7.2871104444444433E-3</v>
      </c>
      <c r="AQ32" s="35">
        <f>$G$28/'Fixed data'!$C$7</f>
        <v>-7.2871104444444433E-3</v>
      </c>
      <c r="AR32" s="35">
        <f>$G$28/'Fixed data'!$C$7</f>
        <v>-7.2871104444444433E-3</v>
      </c>
      <c r="AS32" s="35">
        <f>$G$28/'Fixed data'!$C$7</f>
        <v>-7.2871104444444433E-3</v>
      </c>
      <c r="AT32" s="35">
        <f>$G$28/'Fixed data'!$C$7</f>
        <v>-7.2871104444444433E-3</v>
      </c>
      <c r="AU32" s="35">
        <f>$G$28/'Fixed data'!$C$7</f>
        <v>-7.2871104444444433E-3</v>
      </c>
      <c r="AV32" s="35">
        <f>$G$28/'Fixed data'!$C$7</f>
        <v>-7.2871104444444433E-3</v>
      </c>
      <c r="AW32" s="35">
        <f>$G$28/'Fixed data'!$C$7</f>
        <v>-7.2871104444444433E-3</v>
      </c>
      <c r="AX32" s="35">
        <f>$G$28/'Fixed data'!$C$7</f>
        <v>-7.2871104444444433E-3</v>
      </c>
      <c r="AY32" s="35">
        <f>$G$28/'Fixed data'!$C$7</f>
        <v>-7.2871104444444433E-3</v>
      </c>
      <c r="AZ32" s="35">
        <f>$G$28/'Fixed data'!$C$7</f>
        <v>-7.2871104444444433E-3</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-3.9885844444444438E-3</v>
      </c>
      <c r="G60" s="35">
        <f t="shared" si="5"/>
        <v>-1.6099595555555554E-2</v>
      </c>
      <c r="H60" s="35">
        <f t="shared" si="5"/>
        <v>-2.3386705999999997E-2</v>
      </c>
      <c r="I60" s="35">
        <f t="shared" si="5"/>
        <v>-2.3386705999999997E-2</v>
      </c>
      <c r="J60" s="35">
        <f t="shared" si="5"/>
        <v>-2.3386705999999997E-2</v>
      </c>
      <c r="K60" s="35">
        <f t="shared" si="5"/>
        <v>-2.3386705999999997E-2</v>
      </c>
      <c r="L60" s="35">
        <f t="shared" si="5"/>
        <v>-2.3386705999999997E-2</v>
      </c>
      <c r="M60" s="35">
        <f t="shared" si="5"/>
        <v>-2.3386705999999997E-2</v>
      </c>
      <c r="N60" s="35">
        <f t="shared" si="5"/>
        <v>-2.3386705999999997E-2</v>
      </c>
      <c r="O60" s="35">
        <f t="shared" si="5"/>
        <v>-2.3386705999999997E-2</v>
      </c>
      <c r="P60" s="35">
        <f t="shared" si="5"/>
        <v>-2.3386705999999997E-2</v>
      </c>
      <c r="Q60" s="35">
        <f t="shared" si="5"/>
        <v>-2.3386705999999997E-2</v>
      </c>
      <c r="R60" s="35">
        <f t="shared" si="5"/>
        <v>-2.3386705999999997E-2</v>
      </c>
      <c r="S60" s="35">
        <f t="shared" si="5"/>
        <v>-2.3386705999999997E-2</v>
      </c>
      <c r="T60" s="35">
        <f t="shared" si="5"/>
        <v>-2.3386705999999997E-2</v>
      </c>
      <c r="U60" s="35">
        <f t="shared" si="5"/>
        <v>-2.3386705999999997E-2</v>
      </c>
      <c r="V60" s="35">
        <f t="shared" si="5"/>
        <v>-2.3386705999999997E-2</v>
      </c>
      <c r="W60" s="35">
        <f t="shared" si="5"/>
        <v>-2.3386705999999997E-2</v>
      </c>
      <c r="X60" s="35">
        <f t="shared" si="5"/>
        <v>-2.3386705999999997E-2</v>
      </c>
      <c r="Y60" s="35">
        <f t="shared" si="5"/>
        <v>-2.3386705999999997E-2</v>
      </c>
      <c r="Z60" s="35">
        <f t="shared" si="5"/>
        <v>-2.3386705999999997E-2</v>
      </c>
      <c r="AA60" s="35">
        <f t="shared" si="5"/>
        <v>-2.3386705999999997E-2</v>
      </c>
      <c r="AB60" s="35">
        <f t="shared" si="5"/>
        <v>-2.3386705999999997E-2</v>
      </c>
      <c r="AC60" s="35">
        <f t="shared" si="5"/>
        <v>-2.3386705999999997E-2</v>
      </c>
      <c r="AD60" s="35">
        <f t="shared" si="5"/>
        <v>-2.3386705999999997E-2</v>
      </c>
      <c r="AE60" s="35">
        <f t="shared" si="5"/>
        <v>-2.3386705999999997E-2</v>
      </c>
      <c r="AF60" s="35">
        <f t="shared" si="5"/>
        <v>-2.3386705999999997E-2</v>
      </c>
      <c r="AG60" s="35">
        <f t="shared" si="5"/>
        <v>-2.3386705999999997E-2</v>
      </c>
      <c r="AH60" s="35">
        <f t="shared" si="5"/>
        <v>-2.3386705999999997E-2</v>
      </c>
      <c r="AI60" s="35">
        <f t="shared" si="5"/>
        <v>-2.3386705999999997E-2</v>
      </c>
      <c r="AJ60" s="35">
        <f t="shared" si="5"/>
        <v>-2.3386705999999997E-2</v>
      </c>
      <c r="AK60" s="35">
        <f t="shared" si="5"/>
        <v>-2.3386705999999997E-2</v>
      </c>
      <c r="AL60" s="35">
        <f t="shared" si="5"/>
        <v>-2.3386705999999997E-2</v>
      </c>
      <c r="AM60" s="35">
        <f t="shared" si="5"/>
        <v>-2.3386705999999997E-2</v>
      </c>
      <c r="AN60" s="35">
        <f t="shared" si="5"/>
        <v>-2.3386705999999997E-2</v>
      </c>
      <c r="AO60" s="35">
        <f t="shared" si="5"/>
        <v>-2.3386705999999997E-2</v>
      </c>
      <c r="AP60" s="35">
        <f t="shared" si="5"/>
        <v>-2.3386705999999997E-2</v>
      </c>
      <c r="AQ60" s="35">
        <f t="shared" si="5"/>
        <v>-2.3386705999999997E-2</v>
      </c>
      <c r="AR60" s="35">
        <f t="shared" si="5"/>
        <v>-2.3386705999999997E-2</v>
      </c>
      <c r="AS60" s="35">
        <f t="shared" si="5"/>
        <v>-2.3386705999999997E-2</v>
      </c>
      <c r="AT60" s="35">
        <f t="shared" si="5"/>
        <v>-2.3386705999999997E-2</v>
      </c>
      <c r="AU60" s="35">
        <f t="shared" si="5"/>
        <v>-2.3386705999999997E-2</v>
      </c>
      <c r="AV60" s="35">
        <f t="shared" si="5"/>
        <v>-2.3386705999999997E-2</v>
      </c>
      <c r="AW60" s="35">
        <f t="shared" si="5"/>
        <v>-2.3386705999999997E-2</v>
      </c>
      <c r="AX60" s="35">
        <f t="shared" si="5"/>
        <v>-2.3386705999999997E-2</v>
      </c>
      <c r="AY60" s="35">
        <f t="shared" si="5"/>
        <v>-1.9398121555555554E-2</v>
      </c>
      <c r="AZ60" s="35">
        <f t="shared" si="5"/>
        <v>-7.2871104444444433E-3</v>
      </c>
      <c r="BA60" s="35">
        <f t="shared" si="5"/>
        <v>0</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-0.17948629999999999</v>
      </c>
      <c r="G61" s="35">
        <f t="shared" ref="G61:BD61" si="6">F62</f>
        <v>-0.72049321555555546</v>
      </c>
      <c r="H61" s="35">
        <f t="shared" si="6"/>
        <v>-1.0323135899999998</v>
      </c>
      <c r="I61" s="35">
        <f t="shared" si="6"/>
        <v>-1.0089268839999999</v>
      </c>
      <c r="J61" s="35">
        <f t="shared" si="6"/>
        <v>-0.98554017799999982</v>
      </c>
      <c r="K61" s="35">
        <f t="shared" si="6"/>
        <v>-0.96215347199999979</v>
      </c>
      <c r="L61" s="35">
        <f t="shared" si="6"/>
        <v>-0.93876676599999975</v>
      </c>
      <c r="M61" s="35">
        <f t="shared" si="6"/>
        <v>-0.91538005999999972</v>
      </c>
      <c r="N61" s="35">
        <f t="shared" si="6"/>
        <v>-0.89199335399999968</v>
      </c>
      <c r="O61" s="35">
        <f t="shared" si="6"/>
        <v>-0.86860664799999965</v>
      </c>
      <c r="P61" s="35">
        <f t="shared" si="6"/>
        <v>-0.84521994199999961</v>
      </c>
      <c r="Q61" s="35">
        <f t="shared" si="6"/>
        <v>-0.82183323599999958</v>
      </c>
      <c r="R61" s="35">
        <f t="shared" si="6"/>
        <v>-0.79844652999999954</v>
      </c>
      <c r="S61" s="35">
        <f t="shared" si="6"/>
        <v>-0.77505982399999951</v>
      </c>
      <c r="T61" s="35">
        <f t="shared" si="6"/>
        <v>-0.75167311799999947</v>
      </c>
      <c r="U61" s="35">
        <f t="shared" si="6"/>
        <v>-0.72828641199999944</v>
      </c>
      <c r="V61" s="35">
        <f t="shared" si="6"/>
        <v>-0.7048997059999994</v>
      </c>
      <c r="W61" s="35">
        <f t="shared" si="6"/>
        <v>-0.68151299999999937</v>
      </c>
      <c r="X61" s="35">
        <f t="shared" si="6"/>
        <v>-0.65812629399999933</v>
      </c>
      <c r="Y61" s="35">
        <f t="shared" si="6"/>
        <v>-0.6347395879999993</v>
      </c>
      <c r="Z61" s="35">
        <f t="shared" si="6"/>
        <v>-0.61135288199999926</v>
      </c>
      <c r="AA61" s="35">
        <f t="shared" si="6"/>
        <v>-0.58796617599999923</v>
      </c>
      <c r="AB61" s="35">
        <f t="shared" si="6"/>
        <v>-0.5645794699999992</v>
      </c>
      <c r="AC61" s="35">
        <f t="shared" si="6"/>
        <v>-0.54119276399999916</v>
      </c>
      <c r="AD61" s="35">
        <f t="shared" si="6"/>
        <v>-0.51780605799999913</v>
      </c>
      <c r="AE61" s="35">
        <f t="shared" si="6"/>
        <v>-0.49441935199999915</v>
      </c>
      <c r="AF61" s="35">
        <f t="shared" si="6"/>
        <v>-0.47103264599999917</v>
      </c>
      <c r="AG61" s="35">
        <f t="shared" si="6"/>
        <v>-0.44764593999999919</v>
      </c>
      <c r="AH61" s="35">
        <f t="shared" si="6"/>
        <v>-0.42425923399999921</v>
      </c>
      <c r="AI61" s="35">
        <f t="shared" si="6"/>
        <v>-0.40087252799999923</v>
      </c>
      <c r="AJ61" s="35">
        <f t="shared" si="6"/>
        <v>-0.37748582199999925</v>
      </c>
      <c r="AK61" s="35">
        <f t="shared" si="6"/>
        <v>-0.35409911599999927</v>
      </c>
      <c r="AL61" s="35">
        <f t="shared" si="6"/>
        <v>-0.33071240999999929</v>
      </c>
      <c r="AM61" s="35">
        <f t="shared" si="6"/>
        <v>-0.30732570399999931</v>
      </c>
      <c r="AN61" s="35">
        <f t="shared" si="6"/>
        <v>-0.28393899799999933</v>
      </c>
      <c r="AO61" s="35">
        <f t="shared" si="6"/>
        <v>-0.26055229199999935</v>
      </c>
      <c r="AP61" s="35">
        <f t="shared" si="6"/>
        <v>-0.23716558599999935</v>
      </c>
      <c r="AQ61" s="35">
        <f t="shared" si="6"/>
        <v>-0.21377887999999934</v>
      </c>
      <c r="AR61" s="35">
        <f t="shared" si="6"/>
        <v>-0.19039217399999933</v>
      </c>
      <c r="AS61" s="35">
        <f t="shared" si="6"/>
        <v>-0.16700546799999932</v>
      </c>
      <c r="AT61" s="35">
        <f t="shared" si="6"/>
        <v>-0.14361876199999932</v>
      </c>
      <c r="AU61" s="35">
        <f t="shared" si="6"/>
        <v>-0.12023205599999932</v>
      </c>
      <c r="AV61" s="35">
        <f t="shared" si="6"/>
        <v>-9.6845349999999331E-2</v>
      </c>
      <c r="AW61" s="35">
        <f t="shared" si="6"/>
        <v>-7.3458643999999337E-2</v>
      </c>
      <c r="AX61" s="35">
        <f t="shared" si="6"/>
        <v>-5.0071937999999344E-2</v>
      </c>
      <c r="AY61" s="35">
        <f t="shared" si="6"/>
        <v>-2.6685231999999347E-2</v>
      </c>
      <c r="AZ61" s="35">
        <f t="shared" si="6"/>
        <v>-7.2871104444437937E-3</v>
      </c>
      <c r="BA61" s="35">
        <f t="shared" si="6"/>
        <v>6.4965394175331426E-16</v>
      </c>
      <c r="BB61" s="35">
        <f t="shared" si="6"/>
        <v>6.4965394175331426E-16</v>
      </c>
      <c r="BC61" s="35">
        <f t="shared" si="6"/>
        <v>6.4965394175331426E-16</v>
      </c>
      <c r="BD61" s="35">
        <f t="shared" si="6"/>
        <v>6.4965394175331426E-16</v>
      </c>
    </row>
    <row r="62" spans="1:56" ht="16.5" hidden="1" customHeight="1" outlineLevel="1" x14ac:dyDescent="0.3">
      <c r="A62" s="114"/>
      <c r="B62" s="9" t="s">
        <v>33</v>
      </c>
      <c r="C62" s="9" t="s">
        <v>67</v>
      </c>
      <c r="D62" s="9" t="s">
        <v>39</v>
      </c>
      <c r="E62" s="35">
        <f t="shared" ref="E62:BD62" si="7">E28-E60+E61</f>
        <v>-0.17948629999999999</v>
      </c>
      <c r="F62" s="35">
        <f t="shared" si="7"/>
        <v>-0.72049321555555546</v>
      </c>
      <c r="G62" s="35">
        <f t="shared" si="7"/>
        <v>-1.0323135899999998</v>
      </c>
      <c r="H62" s="35">
        <f t="shared" si="7"/>
        <v>-1.0089268839999999</v>
      </c>
      <c r="I62" s="35">
        <f t="shared" si="7"/>
        <v>-0.98554017799999982</v>
      </c>
      <c r="J62" s="35">
        <f t="shared" si="7"/>
        <v>-0.96215347199999979</v>
      </c>
      <c r="K62" s="35">
        <f t="shared" si="7"/>
        <v>-0.93876676599999975</v>
      </c>
      <c r="L62" s="35">
        <f t="shared" si="7"/>
        <v>-0.91538005999999972</v>
      </c>
      <c r="M62" s="35">
        <f t="shared" si="7"/>
        <v>-0.89199335399999968</v>
      </c>
      <c r="N62" s="35">
        <f t="shared" si="7"/>
        <v>-0.86860664799999965</v>
      </c>
      <c r="O62" s="35">
        <f t="shared" si="7"/>
        <v>-0.84521994199999961</v>
      </c>
      <c r="P62" s="35">
        <f t="shared" si="7"/>
        <v>-0.82183323599999958</v>
      </c>
      <c r="Q62" s="35">
        <f t="shared" si="7"/>
        <v>-0.79844652999999954</v>
      </c>
      <c r="R62" s="35">
        <f t="shared" si="7"/>
        <v>-0.77505982399999951</v>
      </c>
      <c r="S62" s="35">
        <f t="shared" si="7"/>
        <v>-0.75167311799999947</v>
      </c>
      <c r="T62" s="35">
        <f t="shared" si="7"/>
        <v>-0.72828641199999944</v>
      </c>
      <c r="U62" s="35">
        <f t="shared" si="7"/>
        <v>-0.7048997059999994</v>
      </c>
      <c r="V62" s="35">
        <f t="shared" si="7"/>
        <v>-0.68151299999999937</v>
      </c>
      <c r="W62" s="35">
        <f t="shared" si="7"/>
        <v>-0.65812629399999933</v>
      </c>
      <c r="X62" s="35">
        <f t="shared" si="7"/>
        <v>-0.6347395879999993</v>
      </c>
      <c r="Y62" s="35">
        <f t="shared" si="7"/>
        <v>-0.61135288199999926</v>
      </c>
      <c r="Z62" s="35">
        <f t="shared" si="7"/>
        <v>-0.58796617599999923</v>
      </c>
      <c r="AA62" s="35">
        <f t="shared" si="7"/>
        <v>-0.5645794699999992</v>
      </c>
      <c r="AB62" s="35">
        <f t="shared" si="7"/>
        <v>-0.54119276399999916</v>
      </c>
      <c r="AC62" s="35">
        <f t="shared" si="7"/>
        <v>-0.51780605799999913</v>
      </c>
      <c r="AD62" s="35">
        <f t="shared" si="7"/>
        <v>-0.49441935199999915</v>
      </c>
      <c r="AE62" s="35">
        <f t="shared" si="7"/>
        <v>-0.47103264599999917</v>
      </c>
      <c r="AF62" s="35">
        <f t="shared" si="7"/>
        <v>-0.44764593999999919</v>
      </c>
      <c r="AG62" s="35">
        <f t="shared" si="7"/>
        <v>-0.42425923399999921</v>
      </c>
      <c r="AH62" s="35">
        <f t="shared" si="7"/>
        <v>-0.40087252799999923</v>
      </c>
      <c r="AI62" s="35">
        <f t="shared" si="7"/>
        <v>-0.37748582199999925</v>
      </c>
      <c r="AJ62" s="35">
        <f t="shared" si="7"/>
        <v>-0.35409911599999927</v>
      </c>
      <c r="AK62" s="35">
        <f t="shared" si="7"/>
        <v>-0.33071240999999929</v>
      </c>
      <c r="AL62" s="35">
        <f t="shared" si="7"/>
        <v>-0.30732570399999931</v>
      </c>
      <c r="AM62" s="35">
        <f t="shared" si="7"/>
        <v>-0.28393899799999933</v>
      </c>
      <c r="AN62" s="35">
        <f t="shared" si="7"/>
        <v>-0.26055229199999935</v>
      </c>
      <c r="AO62" s="35">
        <f t="shared" si="7"/>
        <v>-0.23716558599999935</v>
      </c>
      <c r="AP62" s="35">
        <f t="shared" si="7"/>
        <v>-0.21377887999999934</v>
      </c>
      <c r="AQ62" s="35">
        <f t="shared" si="7"/>
        <v>-0.19039217399999933</v>
      </c>
      <c r="AR62" s="35">
        <f t="shared" si="7"/>
        <v>-0.16700546799999932</v>
      </c>
      <c r="AS62" s="35">
        <f t="shared" si="7"/>
        <v>-0.14361876199999932</v>
      </c>
      <c r="AT62" s="35">
        <f t="shared" si="7"/>
        <v>-0.12023205599999932</v>
      </c>
      <c r="AU62" s="35">
        <f t="shared" si="7"/>
        <v>-9.6845349999999331E-2</v>
      </c>
      <c r="AV62" s="35">
        <f t="shared" si="7"/>
        <v>-7.3458643999999337E-2</v>
      </c>
      <c r="AW62" s="35">
        <f t="shared" si="7"/>
        <v>-5.0071937999999344E-2</v>
      </c>
      <c r="AX62" s="35">
        <f t="shared" si="7"/>
        <v>-2.6685231999999347E-2</v>
      </c>
      <c r="AY62" s="35">
        <f t="shared" si="7"/>
        <v>-7.2871104444437937E-3</v>
      </c>
      <c r="AZ62" s="35">
        <f t="shared" si="7"/>
        <v>6.4965394175331426E-16</v>
      </c>
      <c r="BA62" s="35">
        <f t="shared" si="7"/>
        <v>6.4965394175331426E-16</v>
      </c>
      <c r="BB62" s="35">
        <f t="shared" si="7"/>
        <v>6.4965394175331426E-16</v>
      </c>
      <c r="BC62" s="35">
        <f t="shared" si="7"/>
        <v>6.4965394175331426E-16</v>
      </c>
      <c r="BD62" s="35">
        <f t="shared" si="7"/>
        <v>6.4965394175331426E-16</v>
      </c>
    </row>
    <row r="63" spans="1:56" ht="16.5" collapsed="1" x14ac:dyDescent="0.3">
      <c r="A63" s="114"/>
      <c r="B63" s="9" t="s">
        <v>8</v>
      </c>
      <c r="C63" s="11" t="s">
        <v>66</v>
      </c>
      <c r="D63" s="9" t="s">
        <v>39</v>
      </c>
      <c r="E63" s="35">
        <f>AVERAGE(E61:E62)*'Fixed data'!$C$3</f>
        <v>-3.5897259999999997E-3</v>
      </c>
      <c r="F63" s="35">
        <f>AVERAGE(F61:F62)*'Fixed data'!$C$3</f>
        <v>-1.7999590311111108E-2</v>
      </c>
      <c r="G63" s="35">
        <f>AVERAGE(G61:G62)*'Fixed data'!$C$3</f>
        <v>-3.5056136111111108E-2</v>
      </c>
      <c r="H63" s="35">
        <f>AVERAGE(H61:H62)*'Fixed data'!$C$3</f>
        <v>-4.0824809479999988E-2</v>
      </c>
      <c r="I63" s="35">
        <f>AVERAGE(I61:I62)*'Fixed data'!$C$3</f>
        <v>-3.9889341239999994E-2</v>
      </c>
      <c r="J63" s="35">
        <f>AVERAGE(J61:J62)*'Fixed data'!$C$3</f>
        <v>-3.8953872999999993E-2</v>
      </c>
      <c r="K63" s="35">
        <f>AVERAGE(K61:K62)*'Fixed data'!$C$3</f>
        <v>-3.8018404759999992E-2</v>
      </c>
      <c r="L63" s="35">
        <f>AVERAGE(L61:L62)*'Fixed data'!$C$3</f>
        <v>-3.7082936519999991E-2</v>
      </c>
      <c r="M63" s="35">
        <f>AVERAGE(M61:M62)*'Fixed data'!$C$3</f>
        <v>-3.6147468279999984E-2</v>
      </c>
      <c r="N63" s="35">
        <f>AVERAGE(N61:N62)*'Fixed data'!$C$3</f>
        <v>-3.521200003999999E-2</v>
      </c>
      <c r="O63" s="35">
        <f>AVERAGE(O61:O62)*'Fixed data'!$C$3</f>
        <v>-3.4276531799999982E-2</v>
      </c>
      <c r="P63" s="35">
        <f>AVERAGE(P61:P62)*'Fixed data'!$C$3</f>
        <v>-3.3341063559999988E-2</v>
      </c>
      <c r="Q63" s="35">
        <f>AVERAGE(Q61:Q62)*'Fixed data'!$C$3</f>
        <v>-3.240559531999998E-2</v>
      </c>
      <c r="R63" s="35">
        <f>AVERAGE(R61:R62)*'Fixed data'!$C$3</f>
        <v>-3.1470127079999986E-2</v>
      </c>
      <c r="S63" s="35">
        <f>AVERAGE(S61:S62)*'Fixed data'!$C$3</f>
        <v>-3.0534658839999979E-2</v>
      </c>
      <c r="T63" s="35">
        <f>AVERAGE(T61:T62)*'Fixed data'!$C$3</f>
        <v>-2.9599190599999981E-2</v>
      </c>
      <c r="U63" s="35">
        <f>AVERAGE(U61:U62)*'Fixed data'!$C$3</f>
        <v>-2.8663722359999977E-2</v>
      </c>
      <c r="V63" s="35">
        <f>AVERAGE(V61:V62)*'Fixed data'!$C$3</f>
        <v>-2.7728254119999979E-2</v>
      </c>
      <c r="W63" s="35">
        <f>AVERAGE(W61:W62)*'Fixed data'!$C$3</f>
        <v>-2.6792785879999972E-2</v>
      </c>
      <c r="X63" s="35">
        <f>AVERAGE(X61:X62)*'Fixed data'!$C$3</f>
        <v>-2.5857317639999974E-2</v>
      </c>
      <c r="Y63" s="35">
        <f>AVERAGE(Y61:Y62)*'Fixed data'!$C$3</f>
        <v>-2.492184939999997E-2</v>
      </c>
      <c r="Z63" s="35">
        <f>AVERAGE(Z61:Z62)*'Fixed data'!$C$3</f>
        <v>-2.3986381159999973E-2</v>
      </c>
      <c r="AA63" s="35">
        <f>AVERAGE(AA61:AA62)*'Fixed data'!$C$3</f>
        <v>-2.3050912919999968E-2</v>
      </c>
      <c r="AB63" s="35">
        <f>AVERAGE(AB61:AB62)*'Fixed data'!$C$3</f>
        <v>-2.2115444679999971E-2</v>
      </c>
      <c r="AC63" s="35">
        <f>AVERAGE(AC61:AC62)*'Fixed data'!$C$3</f>
        <v>-2.1179976439999963E-2</v>
      </c>
      <c r="AD63" s="35">
        <f>AVERAGE(AD61:AD62)*'Fixed data'!$C$3</f>
        <v>-2.0244508199999966E-2</v>
      </c>
      <c r="AE63" s="35">
        <f>AVERAGE(AE61:AE62)*'Fixed data'!$C$3</f>
        <v>-1.9309039959999965E-2</v>
      </c>
      <c r="AF63" s="35">
        <f>AVERAGE(AF61:AF62)*'Fixed data'!$C$3</f>
        <v>-1.8373571719999968E-2</v>
      </c>
      <c r="AG63" s="35">
        <f>AVERAGE(AG61:AG62)*'Fixed data'!$C$3</f>
        <v>-1.7438103479999967E-2</v>
      </c>
      <c r="AH63" s="35">
        <f>AVERAGE(AH61:AH62)*'Fixed data'!$C$3</f>
        <v>-1.6502635239999969E-2</v>
      </c>
      <c r="AI63" s="35">
        <f>AVERAGE(AI61:AI62)*'Fixed data'!$C$3</f>
        <v>-1.5567166999999969E-2</v>
      </c>
      <c r="AJ63" s="35">
        <f>AVERAGE(AJ61:AJ62)*'Fixed data'!$C$3</f>
        <v>-1.4631698759999971E-2</v>
      </c>
      <c r="AK63" s="35">
        <f>AVERAGE(AK61:AK62)*'Fixed data'!$C$3</f>
        <v>-1.369623051999997E-2</v>
      </c>
      <c r="AL63" s="35">
        <f>AVERAGE(AL61:AL62)*'Fixed data'!$C$3</f>
        <v>-1.2760762279999973E-2</v>
      </c>
      <c r="AM63" s="35">
        <f>AVERAGE(AM61:AM62)*'Fixed data'!$C$3</f>
        <v>-1.1825294039999972E-2</v>
      </c>
      <c r="AN63" s="35">
        <f>AVERAGE(AN61:AN62)*'Fixed data'!$C$3</f>
        <v>-1.0889825799999975E-2</v>
      </c>
      <c r="AO63" s="35">
        <f>AVERAGE(AO61:AO62)*'Fixed data'!$C$3</f>
        <v>-9.954357559999974E-3</v>
      </c>
      <c r="AP63" s="35">
        <f>AVERAGE(AP61:AP62)*'Fixed data'!$C$3</f>
        <v>-9.0188893199999749E-3</v>
      </c>
      <c r="AQ63" s="35">
        <f>AVERAGE(AQ61:AQ62)*'Fixed data'!$C$3</f>
        <v>-8.0834210799999723E-3</v>
      </c>
      <c r="AR63" s="35">
        <f>AVERAGE(AR61:AR62)*'Fixed data'!$C$3</f>
        <v>-7.147952839999974E-3</v>
      </c>
      <c r="AS63" s="35">
        <f>AVERAGE(AS61:AS62)*'Fixed data'!$C$3</f>
        <v>-6.2124845999999723E-3</v>
      </c>
      <c r="AT63" s="35">
        <f>AVERAGE(AT61:AT62)*'Fixed data'!$C$3</f>
        <v>-5.2770163599999732E-3</v>
      </c>
      <c r="AU63" s="35">
        <f>AVERAGE(AU61:AU62)*'Fixed data'!$C$3</f>
        <v>-4.3415481199999733E-3</v>
      </c>
      <c r="AV63" s="35">
        <f>AVERAGE(AV61:AV62)*'Fixed data'!$C$3</f>
        <v>-3.4060798799999737E-3</v>
      </c>
      <c r="AW63" s="35">
        <f>AVERAGE(AW61:AW62)*'Fixed data'!$C$3</f>
        <v>-2.4706116399999738E-3</v>
      </c>
      <c r="AX63" s="35">
        <f>AVERAGE(AX61:AX62)*'Fixed data'!$C$3</f>
        <v>-1.535143399999974E-3</v>
      </c>
      <c r="AY63" s="35">
        <f>AVERAGE(AY61:AY62)*'Fixed data'!$C$3</f>
        <v>-6.7944684888886274E-4</v>
      </c>
      <c r="AZ63" s="35">
        <f>AVERAGE(AZ61:AZ62)*'Fixed data'!$C$3</f>
        <v>-1.4574220888886289E-4</v>
      </c>
      <c r="BA63" s="35">
        <f>AVERAGE(BA61:BA62)*'Fixed data'!$C$3</f>
        <v>2.5986157670132571E-17</v>
      </c>
      <c r="BB63" s="35">
        <f>AVERAGE(BB61:BB62)*'Fixed data'!$C$3</f>
        <v>2.5986157670132571E-17</v>
      </c>
      <c r="BC63" s="35">
        <f>AVERAGE(BC61:BC62)*'Fixed data'!$C$3</f>
        <v>2.5986157670132571E-17</v>
      </c>
      <c r="BD63" s="35">
        <f>AVERAGE(BD61:BD62)*'Fixed data'!$C$3</f>
        <v>2.5986157670132571E-17</v>
      </c>
    </row>
    <row r="64" spans="1:56" ht="15.75" thickBot="1" x14ac:dyDescent="0.35">
      <c r="A64" s="113"/>
      <c r="B64" s="12" t="s">
        <v>92</v>
      </c>
      <c r="C64" s="12" t="s">
        <v>44</v>
      </c>
      <c r="D64" s="12" t="s">
        <v>39</v>
      </c>
      <c r="E64" s="53">
        <f t="shared" ref="E64:BD64" si="8">E29+E60+E63</f>
        <v>-8.0512426000000012E-2</v>
      </c>
      <c r="F64" s="53">
        <f t="shared" si="8"/>
        <v>-0.25555767475555552</v>
      </c>
      <c r="G64" s="53">
        <f t="shared" si="8"/>
        <v>-0.19169286166666669</v>
      </c>
      <c r="H64" s="53">
        <f t="shared" si="8"/>
        <v>-6.4211515479999981E-2</v>
      </c>
      <c r="I64" s="53">
        <f t="shared" si="8"/>
        <v>-6.3276047239999994E-2</v>
      </c>
      <c r="J64" s="53">
        <f t="shared" si="8"/>
        <v>-6.2340578999999993E-2</v>
      </c>
      <c r="K64" s="53">
        <f t="shared" si="8"/>
        <v>-6.1405110759999992E-2</v>
      </c>
      <c r="L64" s="53">
        <f t="shared" si="8"/>
        <v>-6.0469642519999992E-2</v>
      </c>
      <c r="M64" s="53">
        <f t="shared" si="8"/>
        <v>-5.9534174279999977E-2</v>
      </c>
      <c r="N64" s="53">
        <f t="shared" si="8"/>
        <v>-5.859870603999999E-2</v>
      </c>
      <c r="O64" s="53">
        <f t="shared" si="8"/>
        <v>-5.7663237799999975E-2</v>
      </c>
      <c r="P64" s="53">
        <f t="shared" si="8"/>
        <v>-5.6727769559999988E-2</v>
      </c>
      <c r="Q64" s="53">
        <f t="shared" si="8"/>
        <v>-5.5792301319999973E-2</v>
      </c>
      <c r="R64" s="53">
        <f t="shared" si="8"/>
        <v>-5.4856833079999986E-2</v>
      </c>
      <c r="S64" s="53">
        <f t="shared" si="8"/>
        <v>-5.3921364839999972E-2</v>
      </c>
      <c r="T64" s="53">
        <f t="shared" si="8"/>
        <v>-5.2985896599999978E-2</v>
      </c>
      <c r="U64" s="53">
        <f t="shared" si="8"/>
        <v>-5.205042835999997E-2</v>
      </c>
      <c r="V64" s="53">
        <f t="shared" si="8"/>
        <v>-5.1114960119999976E-2</v>
      </c>
      <c r="W64" s="53">
        <f t="shared" si="8"/>
        <v>-5.0179491879999968E-2</v>
      </c>
      <c r="X64" s="53">
        <f t="shared" si="8"/>
        <v>-4.9244023639999968E-2</v>
      </c>
      <c r="Y64" s="53">
        <f t="shared" si="8"/>
        <v>-4.8308555399999967E-2</v>
      </c>
      <c r="Z64" s="53">
        <f t="shared" si="8"/>
        <v>-4.7373087159999966E-2</v>
      </c>
      <c r="AA64" s="53">
        <f t="shared" si="8"/>
        <v>-4.6437618919999965E-2</v>
      </c>
      <c r="AB64" s="53">
        <f t="shared" si="8"/>
        <v>-4.5502150679999964E-2</v>
      </c>
      <c r="AC64" s="53">
        <f t="shared" si="8"/>
        <v>-4.4566682439999963E-2</v>
      </c>
      <c r="AD64" s="53">
        <f t="shared" si="8"/>
        <v>-4.3631214199999963E-2</v>
      </c>
      <c r="AE64" s="53">
        <f t="shared" si="8"/>
        <v>-4.2695745959999962E-2</v>
      </c>
      <c r="AF64" s="53">
        <f t="shared" si="8"/>
        <v>-4.1760277719999961E-2</v>
      </c>
      <c r="AG64" s="53">
        <f t="shared" si="8"/>
        <v>-4.082480947999996E-2</v>
      </c>
      <c r="AH64" s="53">
        <f t="shared" si="8"/>
        <v>-3.9889341239999966E-2</v>
      </c>
      <c r="AI64" s="53">
        <f t="shared" si="8"/>
        <v>-3.8953872999999965E-2</v>
      </c>
      <c r="AJ64" s="53">
        <f t="shared" si="8"/>
        <v>-3.8018404759999971E-2</v>
      </c>
      <c r="AK64" s="53">
        <f t="shared" si="8"/>
        <v>-3.7082936519999971E-2</v>
      </c>
      <c r="AL64" s="53">
        <f t="shared" si="8"/>
        <v>-3.614746827999997E-2</v>
      </c>
      <c r="AM64" s="53">
        <f t="shared" si="8"/>
        <v>-3.5212000039999969E-2</v>
      </c>
      <c r="AN64" s="53">
        <f t="shared" si="8"/>
        <v>-3.4276531799999968E-2</v>
      </c>
      <c r="AO64" s="53">
        <f t="shared" si="8"/>
        <v>-3.3341063559999967E-2</v>
      </c>
      <c r="AP64" s="53">
        <f t="shared" si="8"/>
        <v>-3.2405595319999973E-2</v>
      </c>
      <c r="AQ64" s="53">
        <f t="shared" si="8"/>
        <v>-3.1470127079999966E-2</v>
      </c>
      <c r="AR64" s="53">
        <f t="shared" si="8"/>
        <v>-3.0534658839999972E-2</v>
      </c>
      <c r="AS64" s="53">
        <f t="shared" si="8"/>
        <v>-2.9599190599999971E-2</v>
      </c>
      <c r="AT64" s="53">
        <f t="shared" si="8"/>
        <v>-2.866372235999997E-2</v>
      </c>
      <c r="AU64" s="53">
        <f t="shared" si="8"/>
        <v>-2.7728254119999969E-2</v>
      </c>
      <c r="AV64" s="53">
        <f t="shared" si="8"/>
        <v>-2.6792785879999972E-2</v>
      </c>
      <c r="AW64" s="53">
        <f t="shared" si="8"/>
        <v>-2.5857317639999971E-2</v>
      </c>
      <c r="AX64" s="53">
        <f t="shared" si="8"/>
        <v>-2.492184939999997E-2</v>
      </c>
      <c r="AY64" s="53">
        <f t="shared" si="8"/>
        <v>-2.0077568404444416E-2</v>
      </c>
      <c r="AZ64" s="53">
        <f t="shared" si="8"/>
        <v>-7.4328526533333061E-3</v>
      </c>
      <c r="BA64" s="53">
        <f t="shared" si="8"/>
        <v>2.5986157670132571E-17</v>
      </c>
      <c r="BB64" s="53">
        <f t="shared" si="8"/>
        <v>2.5986157670132571E-17</v>
      </c>
      <c r="BC64" s="53">
        <f t="shared" si="8"/>
        <v>2.5986157670132571E-17</v>
      </c>
      <c r="BD64" s="53">
        <f t="shared" si="8"/>
        <v>2.5986157670132571E-17</v>
      </c>
    </row>
    <row r="65" spans="1:56" ht="12.75" customHeight="1" x14ac:dyDescent="0.3">
      <c r="A65" s="523"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524"/>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524"/>
      <c r="B67" s="9" t="s">
        <v>295</v>
      </c>
      <c r="C67" s="11"/>
      <c r="D67" s="11" t="s">
        <v>39</v>
      </c>
      <c r="E67" s="82"/>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524"/>
      <c r="B68" s="9" t="s">
        <v>296</v>
      </c>
      <c r="C68" s="9"/>
      <c r="D68" s="9" t="s">
        <v>39</v>
      </c>
      <c r="E68" s="82"/>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524"/>
      <c r="B69" s="4" t="s">
        <v>200</v>
      </c>
      <c r="D69" s="9" t="s">
        <v>39</v>
      </c>
      <c r="E69" s="35">
        <f>E90*'Fixed data'!H$5/1000000</f>
        <v>-4.6515941010882443E-4</v>
      </c>
      <c r="F69" s="35">
        <f>F90*'Fixed data'!I$5/1000000</f>
        <v>-6.8972470834096483E-4</v>
      </c>
      <c r="G69" s="35">
        <f>G90*'Fixed data'!J$5/1000000</f>
        <v>-1.4101250502982006E-3</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524"/>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524"/>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524"/>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524"/>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524"/>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524"/>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525"/>
      <c r="B76" s="13" t="s">
        <v>98</v>
      </c>
      <c r="C76" s="13"/>
      <c r="D76" s="13" t="s">
        <v>39</v>
      </c>
      <c r="E76" s="53">
        <f>SUM(E65:E75)</f>
        <v>-4.6515941010882443E-4</v>
      </c>
      <c r="F76" s="53">
        <f t="shared" ref="F76:BD76" si="9">SUM(F65:F75)</f>
        <v>-6.8972470834096483E-4</v>
      </c>
      <c r="G76" s="53">
        <f t="shared" si="9"/>
        <v>-1.4101250502982006E-3</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-8.097758541010884E-2</v>
      </c>
      <c r="F77" s="54">
        <f>IF('Fixed data'!$G$19=FALSE,F64+F76,F64)</f>
        <v>-0.25624739946389646</v>
      </c>
      <c r="G77" s="54">
        <f>IF('Fixed data'!$G$19=FALSE,G64+G76,G64)</f>
        <v>-0.19310298671696488</v>
      </c>
      <c r="H77" s="54">
        <f>IF('Fixed data'!$G$19=FALSE,H64+H76,H64)</f>
        <v>-6.4211515479999981E-2</v>
      </c>
      <c r="I77" s="54">
        <f>IF('Fixed data'!$G$19=FALSE,I64+I76,I64)</f>
        <v>-6.3276047239999994E-2</v>
      </c>
      <c r="J77" s="54">
        <f>IF('Fixed data'!$G$19=FALSE,J64+J76,J64)</f>
        <v>-6.2340578999999993E-2</v>
      </c>
      <c r="K77" s="54">
        <f>IF('Fixed data'!$G$19=FALSE,K64+K76,K64)</f>
        <v>-6.1405110759999992E-2</v>
      </c>
      <c r="L77" s="54">
        <f>IF('Fixed data'!$G$19=FALSE,L64+L76,L64)</f>
        <v>-6.0469642519999992E-2</v>
      </c>
      <c r="M77" s="54">
        <f>IF('Fixed data'!$G$19=FALSE,M64+M76,M64)</f>
        <v>-5.9534174279999977E-2</v>
      </c>
      <c r="N77" s="54">
        <f>IF('Fixed data'!$G$19=FALSE,N64+N76,N64)</f>
        <v>-5.859870603999999E-2</v>
      </c>
      <c r="O77" s="54">
        <f>IF('Fixed data'!$G$19=FALSE,O64+O76,O64)</f>
        <v>-5.7663237799999975E-2</v>
      </c>
      <c r="P77" s="54">
        <f>IF('Fixed data'!$G$19=FALSE,P64+P76,P64)</f>
        <v>-5.6727769559999988E-2</v>
      </c>
      <c r="Q77" s="54">
        <f>IF('Fixed data'!$G$19=FALSE,Q64+Q76,Q64)</f>
        <v>-5.5792301319999973E-2</v>
      </c>
      <c r="R77" s="54">
        <f>IF('Fixed data'!$G$19=FALSE,R64+R76,R64)</f>
        <v>-5.4856833079999986E-2</v>
      </c>
      <c r="S77" s="54">
        <f>IF('Fixed data'!$G$19=FALSE,S64+S76,S64)</f>
        <v>-5.3921364839999972E-2</v>
      </c>
      <c r="T77" s="54">
        <f>IF('Fixed data'!$G$19=FALSE,T64+T76,T64)</f>
        <v>-5.2985896599999978E-2</v>
      </c>
      <c r="U77" s="54">
        <f>IF('Fixed data'!$G$19=FALSE,U64+U76,U64)</f>
        <v>-5.205042835999997E-2</v>
      </c>
      <c r="V77" s="54">
        <f>IF('Fixed data'!$G$19=FALSE,V64+V76,V64)</f>
        <v>-5.1114960119999976E-2</v>
      </c>
      <c r="W77" s="54">
        <f>IF('Fixed data'!$G$19=FALSE,W64+W76,W64)</f>
        <v>-5.0179491879999968E-2</v>
      </c>
      <c r="X77" s="54">
        <f>IF('Fixed data'!$G$19=FALSE,X64+X76,X64)</f>
        <v>-4.9244023639999968E-2</v>
      </c>
      <c r="Y77" s="54">
        <f>IF('Fixed data'!$G$19=FALSE,Y64+Y76,Y64)</f>
        <v>-4.8308555399999967E-2</v>
      </c>
      <c r="Z77" s="54">
        <f>IF('Fixed data'!$G$19=FALSE,Z64+Z76,Z64)</f>
        <v>-4.7373087159999966E-2</v>
      </c>
      <c r="AA77" s="54">
        <f>IF('Fixed data'!$G$19=FALSE,AA64+AA76,AA64)</f>
        <v>-4.6437618919999965E-2</v>
      </c>
      <c r="AB77" s="54">
        <f>IF('Fixed data'!$G$19=FALSE,AB64+AB76,AB64)</f>
        <v>-4.5502150679999964E-2</v>
      </c>
      <c r="AC77" s="54">
        <f>IF('Fixed data'!$G$19=FALSE,AC64+AC76,AC64)</f>
        <v>-4.4566682439999963E-2</v>
      </c>
      <c r="AD77" s="54">
        <f>IF('Fixed data'!$G$19=FALSE,AD64+AD76,AD64)</f>
        <v>-4.3631214199999963E-2</v>
      </c>
      <c r="AE77" s="54">
        <f>IF('Fixed data'!$G$19=FALSE,AE64+AE76,AE64)</f>
        <v>-4.2695745959999962E-2</v>
      </c>
      <c r="AF77" s="54">
        <f>IF('Fixed data'!$G$19=FALSE,AF64+AF76,AF64)</f>
        <v>-4.1760277719999961E-2</v>
      </c>
      <c r="AG77" s="54">
        <f>IF('Fixed data'!$G$19=FALSE,AG64+AG76,AG64)</f>
        <v>-4.082480947999996E-2</v>
      </c>
      <c r="AH77" s="54">
        <f>IF('Fixed data'!$G$19=FALSE,AH64+AH76,AH64)</f>
        <v>-3.9889341239999966E-2</v>
      </c>
      <c r="AI77" s="54">
        <f>IF('Fixed data'!$G$19=FALSE,AI64+AI76,AI64)</f>
        <v>-3.8953872999999965E-2</v>
      </c>
      <c r="AJ77" s="54">
        <f>IF('Fixed data'!$G$19=FALSE,AJ64+AJ76,AJ64)</f>
        <v>-3.8018404759999971E-2</v>
      </c>
      <c r="AK77" s="54">
        <f>IF('Fixed data'!$G$19=FALSE,AK64+AK76,AK64)</f>
        <v>-3.7082936519999971E-2</v>
      </c>
      <c r="AL77" s="54">
        <f>IF('Fixed data'!$G$19=FALSE,AL64+AL76,AL64)</f>
        <v>-3.614746827999997E-2</v>
      </c>
      <c r="AM77" s="54">
        <f>IF('Fixed data'!$G$19=FALSE,AM64+AM76,AM64)</f>
        <v>-3.5212000039999969E-2</v>
      </c>
      <c r="AN77" s="54">
        <f>IF('Fixed data'!$G$19=FALSE,AN64+AN76,AN64)</f>
        <v>-3.4276531799999968E-2</v>
      </c>
      <c r="AO77" s="54">
        <f>IF('Fixed data'!$G$19=FALSE,AO64+AO76,AO64)</f>
        <v>-3.3341063559999967E-2</v>
      </c>
      <c r="AP77" s="54">
        <f>IF('Fixed data'!$G$19=FALSE,AP64+AP76,AP64)</f>
        <v>-3.2405595319999973E-2</v>
      </c>
      <c r="AQ77" s="54">
        <f>IF('Fixed data'!$G$19=FALSE,AQ64+AQ76,AQ64)</f>
        <v>-3.1470127079999966E-2</v>
      </c>
      <c r="AR77" s="54">
        <f>IF('Fixed data'!$G$19=FALSE,AR64+AR76,AR64)</f>
        <v>-3.0534658839999972E-2</v>
      </c>
      <c r="AS77" s="54">
        <f>IF('Fixed data'!$G$19=FALSE,AS64+AS76,AS64)</f>
        <v>-2.9599190599999971E-2</v>
      </c>
      <c r="AT77" s="54">
        <f>IF('Fixed data'!$G$19=FALSE,AT64+AT76,AT64)</f>
        <v>-2.866372235999997E-2</v>
      </c>
      <c r="AU77" s="54">
        <f>IF('Fixed data'!$G$19=FALSE,AU64+AU76,AU64)</f>
        <v>-2.7728254119999969E-2</v>
      </c>
      <c r="AV77" s="54">
        <f>IF('Fixed data'!$G$19=FALSE,AV64+AV76,AV64)</f>
        <v>-2.6792785879999972E-2</v>
      </c>
      <c r="AW77" s="54">
        <f>IF('Fixed data'!$G$19=FALSE,AW64+AW76,AW64)</f>
        <v>-2.5857317639999971E-2</v>
      </c>
      <c r="AX77" s="54">
        <f>IF('Fixed data'!$G$19=FALSE,AX64+AX76,AX64)</f>
        <v>-2.492184939999997E-2</v>
      </c>
      <c r="AY77" s="54">
        <f>IF('Fixed data'!$G$19=FALSE,AY64+AY76,AY64)</f>
        <v>-2.0077568404444416E-2</v>
      </c>
      <c r="AZ77" s="54">
        <f>IF('Fixed data'!$G$19=FALSE,AZ64+AZ76,AZ64)</f>
        <v>-7.4328526533333061E-3</v>
      </c>
      <c r="BA77" s="54">
        <f>IF('Fixed data'!$G$19=FALSE,BA64+BA76,BA64)</f>
        <v>2.5986157670132571E-17</v>
      </c>
      <c r="BB77" s="54">
        <f>IF('Fixed data'!$G$19=FALSE,BB64+BB76,BB64)</f>
        <v>2.5986157670132571E-17</v>
      </c>
      <c r="BC77" s="54">
        <f>IF('Fixed data'!$G$19=FALSE,BC64+BC76,BC64)</f>
        <v>2.5986157670132571E-17</v>
      </c>
      <c r="BD77" s="54">
        <f>IF('Fixed data'!$G$19=FALSE,BD64+BD76,BD64)</f>
        <v>2.5986157670132571E-17</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-7.8239212956626905E-2</v>
      </c>
      <c r="F80" s="55">
        <f t="shared" ref="F80:BD80" si="10">F77*F78</f>
        <v>-0.23920968934061143</v>
      </c>
      <c r="G80" s="55">
        <f t="shared" si="10"/>
        <v>-0.1741678303120755</v>
      </c>
      <c r="H80" s="55">
        <f t="shared" si="10"/>
        <v>-5.5956626093792546E-2</v>
      </c>
      <c r="I80" s="55">
        <f t="shared" si="10"/>
        <v>-5.3276733880952373E-2</v>
      </c>
      <c r="J80" s="55">
        <f t="shared" si="10"/>
        <v>-5.0714101183018362E-2</v>
      </c>
      <c r="K80" s="55">
        <f t="shared" si="10"/>
        <v>-4.8263861997148716E-2</v>
      </c>
      <c r="L80" s="55">
        <f t="shared" si="10"/>
        <v>-4.5921345329953546E-2</v>
      </c>
      <c r="M80" s="55">
        <f t="shared" si="10"/>
        <v>-4.3682067572970301E-2</v>
      </c>
      <c r="N80" s="55">
        <f t="shared" si="10"/>
        <v>-4.1541725170804455E-2</v>
      </c>
      <c r="O80" s="55">
        <f t="shared" si="10"/>
        <v>-3.9496187570860361E-2</v>
      </c>
      <c r="P80" s="55">
        <f t="shared" si="10"/>
        <v>-3.7541490444002443E-2</v>
      </c>
      <c r="Q80" s="55">
        <f t="shared" si="10"/>
        <v>-3.5673829165884553E-2</v>
      </c>
      <c r="R80" s="55">
        <f t="shared" si="10"/>
        <v>-3.3889552549071007E-2</v>
      </c>
      <c r="S80" s="55">
        <f t="shared" si="10"/>
        <v>-3.2185156816441393E-2</v>
      </c>
      <c r="T80" s="55">
        <f t="shared" si="10"/>
        <v>-3.0557279806728444E-2</v>
      </c>
      <c r="U80" s="55">
        <f t="shared" si="10"/>
        <v>-2.9002695403380692E-2</v>
      </c>
      <c r="V80" s="55">
        <f t="shared" si="10"/>
        <v>-2.7518308178272159E-2</v>
      </c>
      <c r="W80" s="55">
        <f t="shared" si="10"/>
        <v>-2.6101148242099161E-2</v>
      </c>
      <c r="X80" s="55">
        <f t="shared" si="10"/>
        <v>-2.4748366293610678E-2</v>
      </c>
      <c r="Y80" s="55">
        <f t="shared" si="10"/>
        <v>-2.345722886011338E-2</v>
      </c>
      <c r="Z80" s="55">
        <f t="shared" si="10"/>
        <v>-2.2225113721976247E-2</v>
      </c>
      <c r="AA80" s="55">
        <f t="shared" si="10"/>
        <v>-2.1049505514133312E-2</v>
      </c>
      <c r="AB80" s="55">
        <f t="shared" si="10"/>
        <v>-1.9927991497845656E-2</v>
      </c>
      <c r="AC80" s="55">
        <f t="shared" si="10"/>
        <v>-1.8858257496237665E-2</v>
      </c>
      <c r="AD80" s="55">
        <f t="shared" si="10"/>
        <v>-1.7838083987366152E-2</v>
      </c>
      <c r="AE80" s="55">
        <f t="shared" si="10"/>
        <v>-1.6865342348815864E-2</v>
      </c>
      <c r="AF80" s="55">
        <f t="shared" si="10"/>
        <v>-1.5937991248040965E-2</v>
      </c>
      <c r="AG80" s="55">
        <f t="shared" si="10"/>
        <v>-1.505407317288986E-2</v>
      </c>
      <c r="AH80" s="55">
        <f t="shared" si="10"/>
        <v>-1.4211711096960062E-2</v>
      </c>
      <c r="AI80" s="55">
        <f t="shared" si="10"/>
        <v>-1.5581048454237051E-2</v>
      </c>
      <c r="AJ80" s="55">
        <f t="shared" si="10"/>
        <v>-1.4763954547117087E-2</v>
      </c>
      <c r="AK80" s="55">
        <f t="shared" si="10"/>
        <v>-1.3981240374044815E-2</v>
      </c>
      <c r="AL80" s="55">
        <f t="shared" si="10"/>
        <v>-1.3231596402502814E-2</v>
      </c>
      <c r="AM80" s="55">
        <f t="shared" si="10"/>
        <v>-1.251376021784426E-2</v>
      </c>
      <c r="AN80" s="55">
        <f t="shared" si="10"/>
        <v>-1.1826514889486628E-2</v>
      </c>
      <c r="AO80" s="55">
        <f t="shared" si="10"/>
        <v>-1.1168687392306718E-2</v>
      </c>
      <c r="AP80" s="55">
        <f t="shared" si="10"/>
        <v>-1.0539147081407496E-2</v>
      </c>
      <c r="AQ80" s="55">
        <f t="shared" si="10"/>
        <v>-9.9368042184868645E-3</v>
      </c>
      <c r="AR80" s="55">
        <f t="shared" si="10"/>
        <v>-9.3606085480963854E-3</v>
      </c>
      <c r="AS80" s="55">
        <f t="shared" si="10"/>
        <v>-8.8095479221337383E-3</v>
      </c>
      <c r="AT80" s="55">
        <f t="shared" si="10"/>
        <v>-8.282646970967214E-3</v>
      </c>
      <c r="AU80" s="55">
        <f t="shared" si="10"/>
        <v>-7.7789658196424942E-3</v>
      </c>
      <c r="AV80" s="55">
        <f t="shared" si="10"/>
        <v>-7.2975988476730383E-3</v>
      </c>
      <c r="AW80" s="55">
        <f t="shared" si="10"/>
        <v>-6.8376734909642396E-3</v>
      </c>
      <c r="AX80" s="55">
        <f t="shared" si="10"/>
        <v>-6.3983490844691264E-3</v>
      </c>
      <c r="AY80" s="55">
        <f t="shared" si="10"/>
        <v>-5.0045099042414533E-3</v>
      </c>
      <c r="AZ80" s="55">
        <f t="shared" si="10"/>
        <v>-1.7987414297368812E-3</v>
      </c>
      <c r="BA80" s="55">
        <f t="shared" si="10"/>
        <v>6.1054553373227594E-18</v>
      </c>
      <c r="BB80" s="55">
        <f t="shared" si="10"/>
        <v>5.9276265410900575E-18</v>
      </c>
      <c r="BC80" s="55">
        <f t="shared" si="10"/>
        <v>5.7549772243592793E-18</v>
      </c>
      <c r="BD80" s="55">
        <f t="shared" si="10"/>
        <v>5.587356528504155E-18</v>
      </c>
    </row>
    <row r="81" spans="1:56" x14ac:dyDescent="0.3">
      <c r="A81" s="75"/>
      <c r="B81" s="15" t="s">
        <v>18</v>
      </c>
      <c r="C81" s="15"/>
      <c r="D81" s="14" t="s">
        <v>39</v>
      </c>
      <c r="E81" s="56">
        <f>+E80</f>
        <v>-7.8239212956626905E-2</v>
      </c>
      <c r="F81" s="56">
        <f t="shared" ref="F81:BD81" si="11">+E81+F80</f>
        <v>-0.31744890229723832</v>
      </c>
      <c r="G81" s="56">
        <f t="shared" si="11"/>
        <v>-0.49161673260931382</v>
      </c>
      <c r="H81" s="56">
        <f t="shared" si="11"/>
        <v>-0.54757335870310642</v>
      </c>
      <c r="I81" s="56">
        <f t="shared" si="11"/>
        <v>-0.60085009258405875</v>
      </c>
      <c r="J81" s="56">
        <f t="shared" si="11"/>
        <v>-0.65156419376707708</v>
      </c>
      <c r="K81" s="56">
        <f t="shared" si="11"/>
        <v>-0.6998280557642258</v>
      </c>
      <c r="L81" s="56">
        <f t="shared" si="11"/>
        <v>-0.74574940109417931</v>
      </c>
      <c r="M81" s="56">
        <f t="shared" si="11"/>
        <v>-0.78943146866714964</v>
      </c>
      <c r="N81" s="56">
        <f t="shared" si="11"/>
        <v>-0.83097319383795409</v>
      </c>
      <c r="O81" s="56">
        <f t="shared" si="11"/>
        <v>-0.87046938140881447</v>
      </c>
      <c r="P81" s="56">
        <f t="shared" si="11"/>
        <v>-0.90801087185281693</v>
      </c>
      <c r="Q81" s="56">
        <f t="shared" si="11"/>
        <v>-0.9436847010187015</v>
      </c>
      <c r="R81" s="56">
        <f t="shared" si="11"/>
        <v>-0.9775742535677725</v>
      </c>
      <c r="S81" s="56">
        <f t="shared" si="11"/>
        <v>-1.0097594103842138</v>
      </c>
      <c r="T81" s="56">
        <f t="shared" si="11"/>
        <v>-1.0403166901909422</v>
      </c>
      <c r="U81" s="56">
        <f t="shared" si="11"/>
        <v>-1.0693193855943228</v>
      </c>
      <c r="V81" s="56">
        <f t="shared" si="11"/>
        <v>-1.096837693772595</v>
      </c>
      <c r="W81" s="56">
        <f t="shared" si="11"/>
        <v>-1.1229388420146942</v>
      </c>
      <c r="X81" s="56">
        <f t="shared" si="11"/>
        <v>-1.147687208308305</v>
      </c>
      <c r="Y81" s="56">
        <f t="shared" si="11"/>
        <v>-1.1711444371684183</v>
      </c>
      <c r="Z81" s="56">
        <f t="shared" si="11"/>
        <v>-1.1933695508903945</v>
      </c>
      <c r="AA81" s="56">
        <f t="shared" si="11"/>
        <v>-1.2144190564045279</v>
      </c>
      <c r="AB81" s="56">
        <f t="shared" si="11"/>
        <v>-1.2343470479023735</v>
      </c>
      <c r="AC81" s="56">
        <f t="shared" si="11"/>
        <v>-1.2532053053986112</v>
      </c>
      <c r="AD81" s="56">
        <f t="shared" si="11"/>
        <v>-1.2710433893859774</v>
      </c>
      <c r="AE81" s="56">
        <f t="shared" si="11"/>
        <v>-1.2879087317347933</v>
      </c>
      <c r="AF81" s="56">
        <f t="shared" si="11"/>
        <v>-1.3038467229828343</v>
      </c>
      <c r="AG81" s="56">
        <f t="shared" si="11"/>
        <v>-1.3189007961557242</v>
      </c>
      <c r="AH81" s="56">
        <f t="shared" si="11"/>
        <v>-1.3331125072526842</v>
      </c>
      <c r="AI81" s="56">
        <f t="shared" si="11"/>
        <v>-1.3486935557069213</v>
      </c>
      <c r="AJ81" s="56">
        <f t="shared" si="11"/>
        <v>-1.3634575102540383</v>
      </c>
      <c r="AK81" s="56">
        <f t="shared" si="11"/>
        <v>-1.3774387506280832</v>
      </c>
      <c r="AL81" s="56">
        <f t="shared" si="11"/>
        <v>-1.3906703470305859</v>
      </c>
      <c r="AM81" s="56">
        <f t="shared" si="11"/>
        <v>-1.4031841072484301</v>
      </c>
      <c r="AN81" s="56">
        <f t="shared" si="11"/>
        <v>-1.4150106221379168</v>
      </c>
      <c r="AO81" s="56">
        <f t="shared" si="11"/>
        <v>-1.4261793095302235</v>
      </c>
      <c r="AP81" s="56">
        <f t="shared" si="11"/>
        <v>-1.4367184566116311</v>
      </c>
      <c r="AQ81" s="56">
        <f t="shared" si="11"/>
        <v>-1.446655260830118</v>
      </c>
      <c r="AR81" s="56">
        <f t="shared" si="11"/>
        <v>-1.4560158693782144</v>
      </c>
      <c r="AS81" s="56">
        <f t="shared" si="11"/>
        <v>-1.4648254173003481</v>
      </c>
      <c r="AT81" s="56">
        <f t="shared" si="11"/>
        <v>-1.4731080642713152</v>
      </c>
      <c r="AU81" s="56">
        <f t="shared" si="11"/>
        <v>-1.4808870300909578</v>
      </c>
      <c r="AV81" s="56">
        <f t="shared" si="11"/>
        <v>-1.4881846289386309</v>
      </c>
      <c r="AW81" s="56">
        <f t="shared" si="11"/>
        <v>-1.4950223024295952</v>
      </c>
      <c r="AX81" s="56">
        <f t="shared" si="11"/>
        <v>-1.5014206515140645</v>
      </c>
      <c r="AY81" s="56">
        <f t="shared" si="11"/>
        <v>-1.506425161418306</v>
      </c>
      <c r="AZ81" s="56">
        <f t="shared" si="11"/>
        <v>-1.5082239028480429</v>
      </c>
      <c r="BA81" s="56">
        <f t="shared" si="11"/>
        <v>-1.5082239028480429</v>
      </c>
      <c r="BB81" s="56">
        <f t="shared" si="11"/>
        <v>-1.5082239028480429</v>
      </c>
      <c r="BC81" s="56">
        <f t="shared" si="11"/>
        <v>-1.5082239028480429</v>
      </c>
      <c r="BD81" s="56">
        <f t="shared" si="11"/>
        <v>-1.5082239028480429</v>
      </c>
    </row>
    <row r="82" spans="1:56" x14ac:dyDescent="0.3">
      <c r="A82" s="75"/>
      <c r="B82" s="14"/>
    </row>
    <row r="83" spans="1:56" x14ac:dyDescent="0.3">
      <c r="A83" s="75"/>
      <c r="E83" s="5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315</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526"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526"/>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526"/>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526"/>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526"/>
      <c r="B90" s="4" t="s">
        <v>325</v>
      </c>
      <c r="D90" s="4" t="s">
        <v>87</v>
      </c>
      <c r="E90" s="38">
        <f>-'Workings template 2015.16'!D51</f>
        <v>-63.692132000000008</v>
      </c>
      <c r="F90" s="38">
        <f>-'Workings template 2016.17'!E81</f>
        <v>-89.918304000000006</v>
      </c>
      <c r="G90" s="38">
        <f>-'Workings template 2017.18'!E83</f>
        <v>-172.87864400000001</v>
      </c>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526"/>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526"/>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526"/>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328</v>
      </c>
    </row>
    <row r="97" spans="1:3" x14ac:dyDescent="0.3">
      <c r="B97" s="70" t="s">
        <v>152</v>
      </c>
    </row>
    <row r="98" spans="1:3" x14ac:dyDescent="0.3">
      <c r="B98" s="4" t="s">
        <v>312</v>
      </c>
    </row>
    <row r="99" spans="1:3" x14ac:dyDescent="0.3">
      <c r="B99" s="4" t="s">
        <v>329</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3:B14">
      <formula1>$B$170:$B$214</formula1>
    </dataValidation>
    <dataValidation type="list" allowBlank="1" showInputMessage="1" showErrorMessage="1" sqref="B15: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Props1.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2.xml><?xml version="1.0" encoding="utf-8"?>
<ds:datastoreItem xmlns:ds="http://schemas.openxmlformats.org/officeDocument/2006/customXml" ds:itemID="{215976EE-BC0E-49E4-8A34-08E2478D0010}">
  <ds:schemaRefs>
    <ds:schemaRef ds:uri="office.server.policy"/>
  </ds:schemaRefs>
</ds:datastoreItem>
</file>

<file path=customXml/itemProps3.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D59107C5-B401-4A16-BB12-3D243B9D13F0}">
  <ds:schemaRefs>
    <ds:schemaRef ds:uri="http://schemas.openxmlformats.org/package/2006/metadata/core-properties"/>
    <ds:schemaRef ds:uri="http://schemas.microsoft.com/sharepoint/v3/fields"/>
    <ds:schemaRef ds:uri="http://schemas.microsoft.com/office/2006/metadata/properties"/>
    <ds:schemaRef ds:uri="eecedeb9-13b3-4e62-b003-046c92e1668a"/>
    <ds:schemaRef ds:uri="http://schemas.microsoft.com/office/2006/documentManagement/types"/>
    <ds:schemaRef ds:uri="http://purl.org/dc/dcmitype/"/>
    <ds:schemaRef ds:uri="http://purl.org/dc/elements/1.1/"/>
    <ds:schemaRef ds:uri="http://purl.org/dc/terms/"/>
    <ds:schemaRef ds:uri="http://www.w3.org/XML/1998/namespace"/>
    <ds:schemaRef ds:uri="efb98dbe-6680-48eb-ac67-85b3a61e78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version control</vt:lpstr>
      <vt:lpstr>Guidance</vt:lpstr>
      <vt:lpstr>Option summary</vt:lpstr>
      <vt:lpstr>Fixed data</vt:lpstr>
      <vt:lpstr>Workings baseline 2015.16</vt:lpstr>
      <vt:lpstr>Workings baseline 2016.17</vt:lpstr>
      <vt:lpstr>Workings baseline 2017.18</vt:lpstr>
      <vt:lpstr>Option 1 (Baseline)</vt:lpstr>
      <vt:lpstr>Option 2</vt:lpstr>
      <vt:lpstr>Workings template 2015.16</vt:lpstr>
      <vt:lpstr>Workings template 2016.17</vt:lpstr>
      <vt:lpstr>Workings template 2017.18</vt:lpstr>
      <vt:lpstr>'Option 1 (Baseline)'!Print_Area</vt:lpstr>
      <vt:lpstr>'Option 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Williams1, Rhys</cp:lastModifiedBy>
  <cp:lastPrinted>2015-10-02T14:59:32Z</cp:lastPrinted>
  <dcterms:created xsi:type="dcterms:W3CDTF">2012-02-15T20:11:21Z</dcterms:created>
  <dcterms:modified xsi:type="dcterms:W3CDTF">2018-06-26T13:33:05Z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